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livier.Gleizes\Documents\C+FOR\A.S.O\Tour de France 2025\Cannes-et-Clairan\"/>
    </mc:Choice>
  </mc:AlternateContent>
  <bookViews>
    <workbookView xWindow="0" yWindow="0" windowWidth="11748" windowHeight="5316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33" i="1" l="1"/>
  <c r="B232" i="1"/>
  <c r="B231" i="1"/>
  <c r="D230" i="1"/>
  <c r="B230" i="1"/>
  <c r="B229" i="1"/>
  <c r="D228" i="1"/>
  <c r="B228" i="1"/>
  <c r="B227" i="1"/>
  <c r="D233" i="1"/>
  <c r="D226" i="1"/>
  <c r="B226" i="1"/>
  <c r="B225" i="1"/>
  <c r="B224" i="1"/>
  <c r="B223" i="1"/>
  <c r="D224" i="1"/>
  <c r="D222" i="1"/>
  <c r="B222" i="1"/>
  <c r="B221" i="1"/>
  <c r="D220" i="1"/>
  <c r="B220" i="1"/>
  <c r="B219" i="1"/>
  <c r="B218" i="1"/>
  <c r="D288" i="1"/>
  <c r="B288" i="1"/>
  <c r="B287" i="1"/>
  <c r="B286" i="1"/>
  <c r="D285" i="1"/>
  <c r="B285" i="1"/>
  <c r="B284" i="1"/>
  <c r="D283" i="1"/>
  <c r="B283" i="1"/>
  <c r="B282" i="1"/>
  <c r="D281" i="1"/>
  <c r="B281" i="1"/>
  <c r="B280" i="1"/>
  <c r="D279" i="1"/>
  <c r="B279" i="1"/>
  <c r="B278" i="1"/>
  <c r="D277" i="1"/>
  <c r="B277" i="1"/>
  <c r="B276" i="1"/>
  <c r="D275" i="1"/>
  <c r="B275" i="1"/>
  <c r="B274" i="1"/>
  <c r="D273" i="1"/>
  <c r="B273" i="1"/>
  <c r="B272" i="1"/>
  <c r="D271" i="1"/>
  <c r="B271" i="1"/>
  <c r="B270" i="1"/>
  <c r="D250" i="1"/>
  <c r="B205" i="1"/>
  <c r="D204" i="1"/>
  <c r="B204" i="1"/>
  <c r="B203" i="1"/>
  <c r="D202" i="1"/>
  <c r="B202" i="1"/>
  <c r="B201" i="1"/>
  <c r="D200" i="1"/>
  <c r="B200" i="1"/>
  <c r="B199" i="1"/>
  <c r="D198" i="1"/>
  <c r="B198" i="1"/>
  <c r="B197" i="1"/>
  <c r="D196" i="1"/>
  <c r="B196" i="1"/>
  <c r="B195" i="1"/>
  <c r="B194" i="1"/>
  <c r="B193" i="1"/>
  <c r="B192" i="1"/>
  <c r="B153" i="1" l="1"/>
  <c r="B152" i="1"/>
  <c r="D150" i="1"/>
  <c r="B150" i="1"/>
  <c r="D148" i="1"/>
  <c r="B148" i="1"/>
  <c r="B146" i="1"/>
  <c r="D146" i="1"/>
  <c r="D142" i="1"/>
  <c r="D144" i="1"/>
  <c r="B144" i="1"/>
  <c r="B142" i="1"/>
  <c r="D153" i="1"/>
  <c r="B179" i="1"/>
  <c r="D168" i="1"/>
  <c r="B168" i="1"/>
  <c r="B167" i="1"/>
  <c r="B166" i="1"/>
  <c r="C12" i="1"/>
  <c r="C13" i="1"/>
  <c r="B127" i="1" l="1"/>
  <c r="D116" i="1"/>
  <c r="B116" i="1"/>
  <c r="B115" i="1"/>
  <c r="B114" i="1"/>
  <c r="B47" i="1"/>
  <c r="D47" i="1" s="1"/>
  <c r="B46" i="1"/>
  <c r="D45" i="1"/>
  <c r="B45" i="1"/>
  <c r="B44" i="1"/>
  <c r="B43" i="1"/>
  <c r="D42" i="1"/>
  <c r="B42" i="1"/>
  <c r="B41" i="1"/>
  <c r="D40" i="1"/>
  <c r="B40" i="1"/>
  <c r="B39" i="1"/>
  <c r="B38" i="1"/>
  <c r="B37" i="1"/>
  <c r="B36" i="1"/>
  <c r="D94" i="1"/>
  <c r="B94" i="1"/>
  <c r="D93" i="1"/>
  <c r="B93" i="1"/>
  <c r="D92" i="1"/>
  <c r="B92" i="1"/>
  <c r="D91" i="1"/>
  <c r="B91" i="1"/>
  <c r="D90" i="1"/>
  <c r="B90" i="1"/>
  <c r="B89" i="1"/>
  <c r="B88" i="1"/>
  <c r="D79" i="1" l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FQ4" i="2"/>
  <c r="GL4" i="2"/>
  <c r="BR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X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W7" i="2" l="1"/>
  <c r="HI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HG10" i="2"/>
  <c r="HH10" i="2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HH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FS18" i="2"/>
  <c r="EX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EC20" i="2"/>
  <c r="HH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V21" i="2"/>
  <c r="EW21" i="2"/>
  <c r="HI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A22" i="2"/>
  <c r="EB22" i="2"/>
  <c r="HG22" i="2"/>
  <c r="EC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H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I28" i="2"/>
  <c r="HG28" i="2"/>
  <c r="EV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HG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HG38" i="2"/>
  <c r="HI38" i="2"/>
  <c r="HH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HI43" i="2"/>
  <c r="EX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G44" i="2" l="1"/>
  <c r="HH44" i="2"/>
  <c r="FS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EB45" i="2"/>
  <c r="HI45" i="2"/>
  <c r="EX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EC48" i="2"/>
  <c r="HI48" i="2"/>
  <c r="HH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EC50" i="2"/>
  <c r="HG50" i="2"/>
  <c r="FS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HG57" i="2"/>
  <c r="HI57" i="2"/>
  <c r="HH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EW60" i="2"/>
  <c r="HI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B62" i="2" s="1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HI70" i="2"/>
  <c r="EW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FS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W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EC85" i="2"/>
  <c r="EW85" i="2"/>
  <c r="HH85" i="2"/>
  <c r="HI85" i="2"/>
  <c r="EV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HG87" i="2"/>
  <c r="EX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X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HH105" i="2"/>
  <c r="EV105" i="2"/>
  <c r="EA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X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EB108" i="2" s="1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FS108" i="2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HI112" i="2"/>
  <c r="FQ112" i="2"/>
  <c r="EC112" i="2"/>
  <c r="EB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C113" i="2"/>
  <c r="EB113" i="2"/>
  <c r="FS113" i="2"/>
  <c r="HI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V116" i="2"/>
  <c r="EA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EX118" i="2"/>
  <c r="HH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FR120" i="2"/>
  <c r="EX120" i="2"/>
  <c r="HH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HI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HI122" i="2"/>
  <c r="HH122" i="2"/>
  <c r="FS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HH124" i="2"/>
  <c r="HG124" i="2"/>
  <c r="EX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HI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X128" i="2"/>
  <c r="EV128" i="2"/>
  <c r="EB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B130" i="2"/>
  <c r="EW130" i="2"/>
  <c r="HI130" i="2"/>
  <c r="HH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EV134" i="2"/>
  <c r="HI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HH139" i="2"/>
  <c r="FS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X140" i="2"/>
  <c r="EB140" i="2"/>
  <c r="EC140" i="2"/>
  <c r="HH140" i="2"/>
  <c r="HG140" i="2"/>
  <c r="FR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EB141" i="2" s="1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G141" i="2"/>
  <c r="HH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H144" i="2" l="1"/>
  <c r="HG144" i="2"/>
  <c r="FR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HH145" i="2"/>
  <c r="EX145" i="2"/>
  <c r="EA145" i="2"/>
  <c r="EB145" i="2"/>
  <c r="HG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FR146" i="2"/>
  <c r="HG146" i="2"/>
  <c r="HH146" i="2"/>
  <c r="EA146" i="2"/>
  <c r="HI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EV150" i="2"/>
  <c r="HG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G154" i="2" l="1"/>
  <c r="HH154" i="2"/>
  <c r="EX154" i="2"/>
  <c r="AA154" i="2"/>
  <c r="EV154" i="2"/>
  <c r="EC154" i="2"/>
  <c r="EA154" i="2"/>
  <c r="ED154" i="2" s="1"/>
  <c r="FS154" i="2"/>
  <c r="HI154" i="2"/>
  <c r="HJ154" i="2" s="1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HG155" i="2" l="1"/>
  <c r="HH155" i="2"/>
  <c r="EY154" i="2"/>
  <c r="DI154" i="2"/>
  <c r="EA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FS156" i="2" l="1"/>
  <c r="HH156" i="2"/>
  <c r="HG156" i="2"/>
  <c r="HI156" i="2"/>
  <c r="EB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H157" i="2" l="1"/>
  <c r="HG157" i="2"/>
  <c r="EX157" i="2"/>
  <c r="EB157" i="2"/>
  <c r="EA157" i="2"/>
  <c r="CN156" i="2"/>
  <c r="EC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HG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D158" i="2"/>
  <c r="HI159" i="2"/>
  <c r="EA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FS160" i="2" l="1"/>
  <c r="HH160" i="2"/>
  <c r="HI160" i="2"/>
  <c r="HG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FS161" i="2" l="1"/>
  <c r="HH161" i="2"/>
  <c r="HG161" i="2"/>
  <c r="EX161" i="2"/>
  <c r="EB161" i="2"/>
  <c r="ED160" i="2"/>
  <c r="EA161" i="2"/>
  <c r="AW161" i="2"/>
  <c r="EC161" i="2"/>
  <c r="ED161" i="2" s="1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H162" i="2" l="1"/>
  <c r="HG162" i="2"/>
  <c r="EC162" i="2"/>
  <c r="EW162" i="2"/>
  <c r="EY161" i="2"/>
  <c r="DI161" i="2"/>
  <c r="FS162" i="2"/>
  <c r="AU162" i="2"/>
  <c r="EX162" i="2"/>
  <c r="EA162" i="2"/>
  <c r="ED162" i="2" s="1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H163" i="2" l="1"/>
  <c r="HG163" i="2"/>
  <c r="HI163" i="2"/>
  <c r="EV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HH164" i="2" l="1"/>
  <c r="HG164" i="2"/>
  <c r="EV164" i="2"/>
  <c r="EY163" i="2"/>
  <c r="DI163" i="2"/>
  <c r="DH164" i="2"/>
  <c r="FR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HG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EC166" i="2"/>
  <c r="ED165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HJ166" i="2"/>
  <c r="HI167" i="2"/>
  <c r="EA167" i="2"/>
  <c r="EB167" i="2"/>
  <c r="EY166" i="2"/>
  <c r="HH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DG168" i="2"/>
  <c r="EC168" i="2"/>
  <c r="HH168" i="2"/>
  <c r="EV168" i="2"/>
  <c r="EW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EY168" i="2"/>
  <c r="FS169" i="2"/>
  <c r="EX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B172" i="2"/>
  <c r="EV172" i="2"/>
  <c r="HG172" i="2"/>
  <c r="HI172" i="2"/>
  <c r="EW172" i="2"/>
  <c r="EC172" i="2"/>
  <c r="ED172" i="2" s="1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W173" i="2"/>
  <c r="EB173" i="2"/>
  <c r="EX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A175" i="2" l="1"/>
  <c r="HI175" i="2"/>
  <c r="FS175" i="2"/>
  <c r="EW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EW177" i="2"/>
  <c r="EC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S178" i="2" l="1"/>
  <c r="HH178" i="2"/>
  <c r="HG178" i="2"/>
  <c r="EB178" i="2"/>
  <c r="ED177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H179" i="2" l="1"/>
  <c r="HG179" i="2"/>
  <c r="EV179" i="2"/>
  <c r="DF179" i="2"/>
  <c r="HI179" i="2"/>
  <c r="FS179" i="2"/>
  <c r="EX179" i="2"/>
  <c r="AW179" i="2"/>
  <c r="EC179" i="2"/>
  <c r="ED179" i="2" s="1"/>
  <c r="FQ179" i="2"/>
  <c r="EW179" i="2"/>
  <c r="EY179" i="2" s="1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G180" i="2" l="1"/>
  <c r="EX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FS181" i="2" l="1"/>
  <c r="HG181" i="2"/>
  <c r="EW181" i="2"/>
  <c r="ED180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EY182" i="2" s="1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I185" i="2" l="1"/>
  <c r="EY184" i="2"/>
  <c r="EV185" i="2"/>
  <c r="EA185" i="2"/>
  <c r="HH185" i="2"/>
  <c r="HG185" i="2"/>
  <c r="EW185" i="2"/>
  <c r="EB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HH186" i="2"/>
  <c r="HG186" i="2"/>
  <c r="EW186" i="2"/>
  <c r="EA186" i="2"/>
  <c r="EB186" i="2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H187" i="2" l="1"/>
  <c r="HG187" i="2"/>
  <c r="EC187" i="2"/>
  <c r="EY186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HH189" i="2" l="1"/>
  <c r="EB189" i="2"/>
  <c r="EY188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J189" i="2" l="1"/>
  <c r="HH190" i="2"/>
  <c r="EY189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H191" i="2" l="1"/>
  <c r="ED190" i="2"/>
  <c r="HI191" i="2"/>
  <c r="HG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H192" i="2" l="1"/>
  <c r="HG192" i="2"/>
  <c r="HI192" i="2"/>
  <c r="EC192" i="2"/>
  <c r="EV192" i="2"/>
  <c r="EB192" i="2"/>
  <c r="EA192" i="2"/>
  <c r="ED192" i="2" s="1"/>
  <c r="AW192" i="2"/>
  <c r="EX192" i="2"/>
  <c r="EY192" i="2" s="1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HI193" i="2" l="1"/>
  <c r="EB193" i="2"/>
  <c r="DI192" i="2"/>
  <c r="EX193" i="2"/>
  <c r="FS193" i="2"/>
  <c r="EC193" i="2"/>
  <c r="ED193" i="2" s="1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FQ194" i="2" l="1"/>
  <c r="HI194" i="2"/>
  <c r="HG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FQ195" i="2" l="1"/>
  <c r="HG195" i="2"/>
  <c r="HI195" i="2"/>
  <c r="EB195" i="2"/>
  <c r="EX195" i="2"/>
  <c r="EY194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HG197" i="2" l="1"/>
  <c r="HH197" i="2"/>
  <c r="EY196" i="2"/>
  <c r="EC197" i="2"/>
  <c r="EX197" i="2"/>
  <c r="EB197" i="2"/>
  <c r="ED197" i="2" s="1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W198" i="2" l="1"/>
  <c r="HI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FS199" i="2" l="1"/>
  <c r="EW199" i="2"/>
  <c r="EV199" i="2"/>
  <c r="EA199" i="2"/>
  <c r="HG199" i="2"/>
  <c r="HH199" i="2"/>
  <c r="EB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J199" i="2" l="1"/>
  <c r="EX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FS201" i="2" l="1"/>
  <c r="HJ200" i="2"/>
  <c r="ED200" i="2"/>
  <c r="EA201" i="2"/>
  <c r="DI200" i="2"/>
  <c r="HH201" i="2"/>
  <c r="HG201" i="2"/>
  <c r="EB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FS202" i="2" l="1"/>
  <c r="HH202" i="2"/>
  <c r="HI202" i="2"/>
  <c r="HG202" i="2"/>
  <c r="EY201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AH92" i="2" a="1"/>
  <c r="AH92" i="2" s="1"/>
  <c r="FD21" i="2" a="1"/>
  <c r="FD21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68" i="2" a="1"/>
  <c r="GT68" i="2" s="1"/>
  <c r="EI106" i="2" a="1"/>
  <c r="EI106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AH151" i="2" a="1"/>
  <c r="AH151" i="2" s="1"/>
  <c r="DN103" i="2" a="1"/>
  <c r="DN103" i="2" s="1"/>
  <c r="DN114" i="2" a="1"/>
  <c r="DN114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05" i="2" a="1"/>
  <c r="CS105" i="2" s="1"/>
  <c r="CS38" i="2" a="1"/>
  <c r="CS38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21" i="2" a="1"/>
  <c r="GT21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CS72" i="2" a="1"/>
  <c r="CS72" i="2" s="1"/>
  <c r="BX107" i="2" a="1"/>
  <c r="BX107" i="2" s="1"/>
  <c r="DN187" i="2" a="1"/>
  <c r="DN187" i="2" s="1"/>
  <c r="EY202" i="2"/>
  <c r="AX200" i="2"/>
  <c r="FD82" i="2" l="1" a="1"/>
  <c r="FD82" i="2" s="1"/>
  <c r="FD19" i="2" a="1"/>
  <c r="FD19" i="2" s="1"/>
  <c r="FD43" i="2" a="1"/>
  <c r="FD43" i="2" s="1"/>
  <c r="FD48" i="2" a="1"/>
  <c r="FD48" i="2" s="1"/>
  <c r="FD137" i="2" a="1"/>
  <c r="FD137" i="2" s="1"/>
  <c r="FD159" i="2" a="1"/>
  <c r="FD159" i="2" s="1"/>
  <c r="FD64" i="2" a="1"/>
  <c r="FD64" i="2" s="1"/>
  <c r="FD44" i="2" a="1"/>
  <c r="FD44" i="2" s="1"/>
  <c r="FD189" i="2" a="1"/>
  <c r="FD189" i="2" s="1"/>
  <c r="FS203" i="2"/>
  <c r="FD60" i="2" a="1"/>
  <c r="FD60" i="2" s="1"/>
  <c r="FD187" i="2" a="1"/>
  <c r="FD187" i="2" s="1"/>
  <c r="FD194" i="2" a="1"/>
  <c r="FD194" i="2" s="1"/>
  <c r="FD160" i="2" a="1"/>
  <c r="FD160" i="2" s="1"/>
  <c r="FD14" i="2" a="1"/>
  <c r="FD14" i="2" s="1"/>
  <c r="FD188" i="2" a="1"/>
  <c r="FD188" i="2" s="1"/>
  <c r="FD107" i="2" a="1"/>
  <c r="FD107" i="2" s="1"/>
  <c r="FD167" i="2" a="1"/>
  <c r="FD167" i="2" s="1"/>
  <c r="FD131" i="2" a="1"/>
  <c r="FD131" i="2" s="1"/>
  <c r="FD59" i="2" a="1"/>
  <c r="FD59" i="2" s="1"/>
  <c r="FD144" i="2" a="1"/>
  <c r="FD144" i="2" s="1"/>
  <c r="HJ202" i="2"/>
  <c r="GT138" i="2" a="1"/>
  <c r="GT138" i="2" s="1"/>
  <c r="GT12" i="2" a="1"/>
  <c r="GT12" i="2" s="1"/>
  <c r="GT181" i="2" a="1"/>
  <c r="GT181" i="2" s="1"/>
  <c r="GT107" i="2" a="1"/>
  <c r="GT107" i="2" s="1"/>
  <c r="GT184" i="2" a="1"/>
  <c r="GT184" i="2" s="1"/>
  <c r="GT174" i="2" a="1"/>
  <c r="GT174" i="2" s="1"/>
  <c r="GT11" i="2" a="1"/>
  <c r="GT11" i="2" s="1"/>
  <c r="GT115" i="2" a="1"/>
  <c r="GT115" i="2" s="1"/>
  <c r="GT190" i="2" a="1"/>
  <c r="GT190" i="2" s="1"/>
  <c r="GT102" i="2" a="1"/>
  <c r="GT102" i="2" s="1"/>
  <c r="GT191" i="2" a="1"/>
  <c r="GT191" i="2" s="1"/>
  <c r="GT147" i="2" a="1"/>
  <c r="GT147" i="2" s="1"/>
  <c r="GT38" i="2" a="1"/>
  <c r="GT38" i="2" s="1"/>
  <c r="GT152" i="2" a="1"/>
  <c r="GT152" i="2" s="1"/>
  <c r="HH203" i="2"/>
  <c r="GT126" i="2" a="1"/>
  <c r="GT126" i="2" s="1"/>
  <c r="GT33" i="2" a="1"/>
  <c r="GT33" i="2" s="1"/>
  <c r="GT74" i="2" a="1"/>
  <c r="GT74" i="2" s="1"/>
  <c r="GT133" i="2" a="1"/>
  <c r="GT133" i="2" s="1"/>
  <c r="GT178" i="2" a="1"/>
  <c r="GT178" i="2" s="1"/>
  <c r="GT121" i="2" a="1"/>
  <c r="GT121" i="2" s="1"/>
  <c r="GT189" i="2" a="1"/>
  <c r="GT189" i="2" s="1"/>
  <c r="GT122" i="2" a="1"/>
  <c r="GT122" i="2" s="1"/>
  <c r="GT198" i="2" a="1"/>
  <c r="GT198" i="2" s="1"/>
  <c r="GT51" i="2" a="1"/>
  <c r="GT51" i="2" s="1"/>
  <c r="HG203" i="2"/>
  <c r="FY121" i="2" a="1"/>
  <c r="FY121" i="2" s="1"/>
  <c r="FY24" i="2" a="1"/>
  <c r="FY24" i="2" s="1"/>
  <c r="FY86" i="2" a="1"/>
  <c r="FY86" i="2" s="1"/>
  <c r="FY58" i="2" a="1"/>
  <c r="FY58" i="2" s="1"/>
  <c r="FY188" i="2" a="1"/>
  <c r="FY188" i="2" s="1"/>
  <c r="FY78" i="2" a="1"/>
  <c r="FY78" i="2" s="1"/>
  <c r="FY159" i="2" a="1"/>
  <c r="FY159" i="2" s="1"/>
  <c r="FY66" i="2" a="1"/>
  <c r="FY66" i="2" s="1"/>
  <c r="FY164" i="2" a="1"/>
  <c r="FY164" i="2" s="1"/>
  <c r="FY149" i="2" a="1"/>
  <c r="FY149" i="2" s="1"/>
  <c r="FY28" i="2" a="1"/>
  <c r="FY28" i="2" s="1"/>
  <c r="FY143" i="2" a="1"/>
  <c r="FY143" i="2" s="1"/>
  <c r="FY142" i="2" a="1"/>
  <c r="FY142" i="2" s="1"/>
  <c r="FY169" i="2" a="1"/>
  <c r="FY169" i="2" s="1"/>
  <c r="FY99" i="2" a="1"/>
  <c r="FY99" i="2" s="1"/>
  <c r="FY35" i="2" a="1"/>
  <c r="FY35" i="2" s="1"/>
  <c r="FY80" i="2" a="1"/>
  <c r="FY80" i="2" s="1"/>
  <c r="FY62" i="2" a="1"/>
  <c r="FY62" i="2" s="1"/>
  <c r="FY116" i="2" a="1"/>
  <c r="FY116" i="2" s="1"/>
  <c r="FY57" i="2" a="1"/>
  <c r="FY57" i="2" s="1"/>
  <c r="FY190" i="2" a="1"/>
  <c r="FY190" i="2" s="1"/>
  <c r="FY92" i="2" a="1"/>
  <c r="FY92" i="2" s="1"/>
  <c r="FY120" i="2" a="1"/>
  <c r="FY120" i="2" s="1"/>
  <c r="FY42" i="2" a="1"/>
  <c r="FY42" i="2" s="1"/>
  <c r="FY72" i="2" a="1"/>
  <c r="FY72" i="2" s="1"/>
  <c r="FY111" i="2" a="1"/>
  <c r="FY111" i="2" s="1"/>
  <c r="FY174" i="2" a="1"/>
  <c r="FY174" i="2" s="1"/>
  <c r="FY30" i="2" a="1"/>
  <c r="FY30" i="2" s="1"/>
  <c r="FY196" i="2" a="1"/>
  <c r="FY196" i="2" s="1"/>
  <c r="FY73" i="2" a="1"/>
  <c r="FY73" i="2" s="1"/>
  <c r="FY167" i="2" a="1"/>
  <c r="FY167" i="2" s="1"/>
  <c r="FY82" i="2" a="1"/>
  <c r="FY82" i="2" s="1"/>
  <c r="FY172" i="2" a="1"/>
  <c r="FY172" i="2" s="1"/>
  <c r="FY178" i="2" a="1"/>
  <c r="FY178" i="2" s="1"/>
  <c r="FY152" i="2" a="1"/>
  <c r="FY152" i="2" s="1"/>
  <c r="FY182" i="2" a="1"/>
  <c r="FY182" i="2" s="1"/>
  <c r="FY104" i="2" a="1"/>
  <c r="FY104" i="2" s="1"/>
  <c r="FY55" i="2" a="1"/>
  <c r="FY55" i="2" s="1"/>
  <c r="FY186" i="2" a="1"/>
  <c r="FY186" i="2" s="1"/>
  <c r="FY124" i="2" a="1"/>
  <c r="FY124" i="2" s="1"/>
  <c r="FY115" i="2" a="1"/>
  <c r="FY115" i="2" s="1"/>
  <c r="FY34" i="2" a="1"/>
  <c r="FY34" i="2" s="1"/>
  <c r="FY126" i="2" a="1"/>
  <c r="FY126" i="2" s="1"/>
  <c r="FY173" i="2" a="1"/>
  <c r="FY173" i="2" s="1"/>
  <c r="FY54" i="2" a="1"/>
  <c r="FY54" i="2" s="1"/>
  <c r="FY50" i="2" a="1"/>
  <c r="FY50" i="2" s="1"/>
  <c r="FY191" i="2" a="1"/>
  <c r="FY191" i="2" s="1"/>
  <c r="FY110" i="2" a="1"/>
  <c r="FY110" i="2" s="1"/>
  <c r="FY153" i="2" a="1"/>
  <c r="FY153" i="2" s="1"/>
  <c r="FY102" i="2" a="1"/>
  <c r="FY102" i="2" s="1"/>
  <c r="FY69" i="2" a="1"/>
  <c r="FY69" i="2" s="1"/>
  <c r="FY109" i="2" a="1"/>
  <c r="FY109" i="2" s="1"/>
  <c r="FY79" i="2" a="1"/>
  <c r="FY79" i="2" s="1"/>
  <c r="FY71" i="2" a="1"/>
  <c r="FY71" i="2" s="1"/>
  <c r="FY18" i="2" a="1"/>
  <c r="FY18" i="2" s="1"/>
  <c r="FY133" i="2" a="1"/>
  <c r="FY133" i="2" s="1"/>
  <c r="FY140" i="2" a="1"/>
  <c r="FY140" i="2" s="1"/>
  <c r="FY29" i="2" a="1"/>
  <c r="FY29" i="2" s="1"/>
  <c r="FY47" i="2" a="1"/>
  <c r="FY47" i="2" s="1"/>
  <c r="FY165" i="2" a="1"/>
  <c r="FY165" i="2" s="1"/>
  <c r="FY146" i="2" a="1"/>
  <c r="FY146" i="2" s="1"/>
  <c r="FY32" i="2" a="1"/>
  <c r="FY32" i="2" s="1"/>
  <c r="FY22" i="2" a="1"/>
  <c r="FY22" i="2" s="1"/>
  <c r="FY90" i="2" a="1"/>
  <c r="FY90" i="2" s="1"/>
  <c r="EI162" i="2" a="1"/>
  <c r="EI162" i="2" s="1"/>
  <c r="EI150" i="2" a="1"/>
  <c r="EI150" i="2" s="1"/>
  <c r="EI29" i="2" a="1"/>
  <c r="EI29" i="2" s="1"/>
  <c r="EI153" i="2" a="1"/>
  <c r="EI153" i="2" s="1"/>
  <c r="EI166" i="2" a="1"/>
  <c r="EI166" i="2" s="1"/>
  <c r="EI198" i="2" a="1"/>
  <c r="EI198" i="2" s="1"/>
  <c r="CS134" i="2" a="1"/>
  <c r="CS134" i="2" s="1"/>
  <c r="CS24" i="2" a="1"/>
  <c r="CS24" i="2" s="1"/>
  <c r="CS137" i="2" a="1"/>
  <c r="CS137" i="2" s="1"/>
  <c r="CS77" i="2" a="1"/>
  <c r="CS77" i="2" s="1"/>
  <c r="CS52" i="2" a="1"/>
  <c r="CS52" i="2" s="1"/>
  <c r="CS161" i="2" a="1"/>
  <c r="CS161" i="2" s="1"/>
  <c r="CS129" i="2" a="1"/>
  <c r="CS129" i="2" s="1"/>
  <c r="CS66" i="2" a="1"/>
  <c r="CS66" i="2" s="1"/>
  <c r="FR203" i="2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T203" i="2" l="1"/>
  <c r="DI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J47" i="2" l="1"/>
  <c r="FJ133" i="2"/>
  <c r="FJ152" i="2"/>
  <c r="FJ74" i="2"/>
  <c r="FJ82" i="2"/>
  <c r="FJ202" i="2"/>
  <c r="FJ3" i="2"/>
  <c r="C13" i="4" s="1"/>
  <c r="E13" i="4" s="1"/>
  <c r="F13" i="4" s="1"/>
  <c r="G13" i="4" s="1"/>
  <c r="L13" i="4" s="1"/>
  <c r="FJ59" i="2"/>
  <c r="FJ108" i="2"/>
  <c r="FJ119" i="2"/>
  <c r="FJ183" i="2"/>
  <c r="FJ48" i="2"/>
  <c r="FJ161" i="2"/>
  <c r="FJ145" i="2"/>
  <c r="FJ20" i="2"/>
  <c r="FJ85" i="2"/>
  <c r="FJ94" i="2"/>
  <c r="FJ185" i="2"/>
  <c r="FJ78" i="2"/>
  <c r="FJ13" i="2"/>
  <c r="FJ195" i="2"/>
  <c r="FJ144" i="2"/>
  <c r="FJ177" i="2"/>
  <c r="FJ160" i="2"/>
  <c r="FJ200" i="2"/>
  <c r="FJ14" i="2"/>
  <c r="FJ154" i="2"/>
  <c r="FJ9" i="2"/>
  <c r="FJ70" i="2"/>
  <c r="FJ140" i="2"/>
  <c r="FJ72" i="2"/>
  <c r="FJ196" i="2"/>
  <c r="FJ121" i="2"/>
  <c r="FJ163" i="2"/>
  <c r="FJ19" i="2"/>
  <c r="FJ46" i="2"/>
  <c r="FJ168" i="2"/>
  <c r="FJ134" i="2"/>
  <c r="FJ142" i="2"/>
  <c r="FJ73" i="2"/>
  <c r="FJ37" i="2"/>
  <c r="FJ18" i="2"/>
  <c r="FJ95" i="2"/>
  <c r="FJ23" i="2"/>
  <c r="FJ104" i="2"/>
  <c r="FJ86" i="2"/>
  <c r="FJ118" i="2"/>
  <c r="FJ66" i="2"/>
  <c r="FJ26" i="2"/>
  <c r="FJ190" i="2"/>
  <c r="FJ56" i="2"/>
  <c r="FJ89" i="2"/>
  <c r="FJ181" i="2"/>
  <c r="FJ151" i="2"/>
  <c r="FJ137" i="2"/>
  <c r="FJ107" i="2"/>
  <c r="FJ113" i="2"/>
  <c r="FJ105" i="2"/>
  <c r="FJ153" i="2"/>
  <c r="FJ174" i="2"/>
  <c r="FJ92" i="2"/>
  <c r="FJ67" i="2"/>
  <c r="FJ61" i="2"/>
  <c r="FJ77" i="2"/>
  <c r="FJ87" i="2"/>
  <c r="FJ129" i="2"/>
  <c r="FJ50" i="2"/>
  <c r="FJ143" i="2"/>
  <c r="FJ166" i="2"/>
  <c r="FJ155" i="2"/>
  <c r="FJ25" i="2"/>
  <c r="FJ11" i="2"/>
  <c r="FJ179" i="2"/>
  <c r="FJ54" i="2"/>
  <c r="FJ180" i="2"/>
  <c r="FJ35" i="2"/>
  <c r="FJ112" i="2"/>
  <c r="FJ99" i="2"/>
  <c r="FJ192" i="2"/>
  <c r="FJ52" i="2"/>
  <c r="FJ42" i="2"/>
  <c r="FJ171" i="2"/>
  <c r="FJ156" i="2"/>
  <c r="FJ150" i="2"/>
  <c r="FJ102" i="2"/>
  <c r="FJ80" i="2"/>
  <c r="FJ186" i="2"/>
  <c r="FJ106" i="2"/>
  <c r="FJ27" i="2"/>
  <c r="FJ170" i="2"/>
  <c r="FJ96" i="2"/>
  <c r="FJ191" i="2"/>
  <c r="FJ17" i="2"/>
  <c r="FJ24" i="2"/>
  <c r="FJ184" i="2"/>
  <c r="FJ103" i="2"/>
  <c r="FJ169" i="2"/>
  <c r="FJ69" i="2"/>
  <c r="FJ21" i="2"/>
  <c r="FJ29" i="2"/>
  <c r="FJ117" i="2"/>
  <c r="FJ146" i="2"/>
  <c r="FJ7" i="2"/>
  <c r="FJ147" i="2"/>
  <c r="FJ97" i="2"/>
  <c r="FJ125" i="2"/>
  <c r="FJ55" i="2"/>
  <c r="FJ141" i="2"/>
  <c r="FJ197" i="2"/>
  <c r="FJ15" i="2"/>
  <c r="FJ188" i="2"/>
  <c r="FJ136" i="2"/>
  <c r="FJ162" i="2"/>
  <c r="FJ114" i="2"/>
  <c r="FJ30" i="2"/>
  <c r="FJ111" i="2"/>
  <c r="FJ79" i="2"/>
  <c r="FJ198" i="2"/>
  <c r="FJ167" i="2"/>
  <c r="FJ127" i="2"/>
  <c r="FJ75" i="2"/>
  <c r="FJ88" i="2"/>
  <c r="FJ182" i="2"/>
  <c r="FJ83" i="2"/>
  <c r="FJ38" i="2"/>
  <c r="FJ158" i="2"/>
  <c r="FJ91" i="2"/>
  <c r="FJ40" i="2"/>
  <c r="FJ5" i="2"/>
  <c r="FJ115" i="2"/>
  <c r="FJ44" i="2"/>
  <c r="FJ164" i="2"/>
  <c r="FJ22" i="2"/>
  <c r="FJ123" i="2"/>
  <c r="FJ49" i="2"/>
  <c r="FJ100" i="2"/>
  <c r="FJ159" i="2"/>
  <c r="FJ131" i="2"/>
  <c r="FJ149" i="2"/>
  <c r="FJ176" i="2"/>
  <c r="FJ148" i="2"/>
  <c r="FJ157" i="2"/>
  <c r="FJ28" i="2"/>
  <c r="FJ63" i="2"/>
  <c r="FJ4" i="2"/>
  <c r="FJ165" i="2"/>
  <c r="FJ32" i="2"/>
  <c r="FJ98" i="2"/>
  <c r="FJ175" i="2"/>
  <c r="FJ199" i="2"/>
  <c r="FJ132" i="2"/>
  <c r="FJ109" i="2"/>
  <c r="FJ76" i="2"/>
  <c r="FJ8" i="2"/>
  <c r="FJ60" i="2"/>
  <c r="FJ203" i="2"/>
  <c r="FJ194" i="2"/>
  <c r="FJ110" i="2"/>
  <c r="FJ178" i="2"/>
  <c r="FJ57" i="2"/>
  <c r="FJ173" i="2"/>
  <c r="FJ45" i="2"/>
  <c r="FJ16" i="2"/>
  <c r="FJ138" i="2"/>
  <c r="FJ34" i="2"/>
  <c r="FJ81" i="2"/>
  <c r="FJ84" i="2"/>
  <c r="FJ189" i="2"/>
  <c r="FJ172" i="2"/>
  <c r="FJ128" i="2"/>
  <c r="FJ36" i="2"/>
  <c r="FJ53" i="2"/>
  <c r="FJ139" i="2"/>
  <c r="FJ10" i="2"/>
  <c r="FJ193" i="2"/>
  <c r="FJ135" i="2"/>
  <c r="FJ120" i="2"/>
  <c r="FJ187" i="2"/>
  <c r="FJ68" i="2"/>
  <c r="FJ65" i="2"/>
  <c r="FJ90" i="2"/>
  <c r="FJ126" i="2"/>
  <c r="FJ122" i="2"/>
  <c r="FJ51" i="2"/>
  <c r="FJ201" i="2"/>
  <c r="FJ39" i="2"/>
  <c r="FJ43" i="2"/>
  <c r="FJ93" i="2"/>
  <c r="FJ12" i="2"/>
  <c r="FJ64" i="2"/>
  <c r="FJ116" i="2"/>
  <c r="FJ33" i="2"/>
  <c r="FJ62" i="2"/>
  <c r="FJ130" i="2"/>
  <c r="FJ6" i="2"/>
  <c r="FJ41" i="2"/>
  <c r="FJ101" i="2"/>
  <c r="FJ124" i="2"/>
  <c r="FJ31" i="2"/>
  <c r="FJ71" i="2"/>
  <c r="FJ58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GE154" i="2" l="1"/>
  <c r="GE81" i="2"/>
  <c r="GE132" i="2"/>
  <c r="GE13" i="2"/>
  <c r="GE3" i="2"/>
  <c r="C14" i="4" s="1"/>
  <c r="E14" i="4" s="1"/>
  <c r="F14" i="4" s="1"/>
  <c r="G14" i="4" s="1"/>
  <c r="L14" i="4" s="1"/>
  <c r="GE88" i="2"/>
  <c r="GE111" i="2"/>
  <c r="GE110" i="2"/>
  <c r="GE123" i="2"/>
  <c r="GE124" i="2"/>
  <c r="GE100" i="2"/>
  <c r="GE170" i="2"/>
  <c r="GE66" i="2"/>
  <c r="GE112" i="2"/>
  <c r="GE189" i="2"/>
  <c r="GE11" i="2"/>
  <c r="GE171" i="2"/>
  <c r="GE97" i="2"/>
  <c r="GE102" i="2"/>
  <c r="GE138" i="2"/>
  <c r="GE181" i="2"/>
  <c r="GE104" i="2"/>
  <c r="GE67" i="2"/>
  <c r="GE43" i="2"/>
  <c r="GE60" i="2"/>
  <c r="GE184" i="2"/>
  <c r="GE51" i="2"/>
  <c r="GE22" i="2"/>
  <c r="GE197" i="2"/>
  <c r="GE166" i="2"/>
  <c r="GE165" i="2"/>
  <c r="GE150" i="2"/>
  <c r="GE117" i="2"/>
  <c r="GE36" i="2"/>
  <c r="GE151" i="2"/>
  <c r="GE15" i="2"/>
  <c r="GE160" i="2"/>
  <c r="GE14" i="2"/>
  <c r="GE136" i="2"/>
  <c r="GE33" i="2"/>
  <c r="GE10" i="2"/>
  <c r="GE44" i="2"/>
  <c r="GE26" i="2"/>
  <c r="GE40" i="2"/>
  <c r="GE94" i="2"/>
  <c r="GE175" i="2"/>
  <c r="GE155" i="2"/>
  <c r="GE19" i="2"/>
  <c r="GE93" i="2"/>
  <c r="GE75" i="2"/>
  <c r="GE91" i="2"/>
  <c r="GE23" i="2"/>
  <c r="GE83" i="2"/>
  <c r="GE153" i="2"/>
  <c r="GE7" i="2"/>
  <c r="GE53" i="2"/>
  <c r="GE144" i="2"/>
  <c r="GE76" i="2"/>
  <c r="GE121" i="2"/>
  <c r="GE180" i="2"/>
  <c r="GE103" i="2"/>
  <c r="GE84" i="2"/>
  <c r="GE69" i="2"/>
  <c r="GE142" i="2"/>
  <c r="GE158" i="2"/>
  <c r="GE71" i="2"/>
  <c r="GE95" i="2"/>
  <c r="GE145" i="2"/>
  <c r="GE35" i="2"/>
  <c r="GE55" i="2"/>
  <c r="GE54" i="2"/>
  <c r="GE120" i="2"/>
  <c r="GE125" i="2"/>
  <c r="GE106" i="2"/>
  <c r="GE52" i="2"/>
  <c r="GE46" i="2"/>
  <c r="GE179" i="2"/>
  <c r="GE87" i="2"/>
  <c r="GE128" i="2"/>
  <c r="GE18" i="2"/>
  <c r="GE127" i="2"/>
  <c r="GE167" i="2"/>
  <c r="GE38" i="2"/>
  <c r="GE133" i="2"/>
  <c r="GE156" i="2"/>
  <c r="GE122" i="2"/>
  <c r="GE77" i="2"/>
  <c r="GE90" i="2"/>
  <c r="GE21" i="2"/>
  <c r="GE185" i="2"/>
  <c r="GE173" i="2"/>
  <c r="GE30" i="2"/>
  <c r="GE65" i="2"/>
  <c r="GE159" i="2"/>
  <c r="GE59" i="2"/>
  <c r="GE56" i="2"/>
  <c r="GE146" i="2"/>
  <c r="GE9" i="2"/>
  <c r="GE101" i="2"/>
  <c r="GE163" i="2"/>
  <c r="GE61" i="2"/>
  <c r="GE28" i="2"/>
  <c r="GE203" i="2"/>
  <c r="GE169" i="2"/>
  <c r="GE198" i="2"/>
  <c r="GE187" i="2"/>
  <c r="GE140" i="2"/>
  <c r="GE177" i="2"/>
  <c r="GE130" i="2"/>
  <c r="GE172" i="2"/>
  <c r="GE105" i="2"/>
  <c r="GE176" i="2"/>
  <c r="GE178" i="2"/>
  <c r="GE200" i="2"/>
  <c r="GE74" i="2"/>
  <c r="GE107" i="2"/>
  <c r="GE47" i="2"/>
  <c r="GE82" i="2"/>
  <c r="GE78" i="2"/>
  <c r="GE199" i="2"/>
  <c r="GE5" i="2"/>
  <c r="GE57" i="2"/>
  <c r="GE50" i="2"/>
  <c r="GE195" i="2"/>
  <c r="GE161" i="2"/>
  <c r="GE139" i="2"/>
  <c r="GE17" i="2"/>
  <c r="GE141" i="2"/>
  <c r="GE194" i="2"/>
  <c r="GE12" i="2"/>
  <c r="GE168" i="2"/>
  <c r="GE182" i="2"/>
  <c r="GE126" i="2"/>
  <c r="GE149" i="2"/>
  <c r="GE116" i="2"/>
  <c r="GE39" i="2"/>
  <c r="GE63" i="2"/>
  <c r="GE186" i="2"/>
  <c r="GE49" i="2"/>
  <c r="GE58" i="2"/>
  <c r="GE147" i="2"/>
  <c r="GE118" i="2"/>
  <c r="GE80" i="2"/>
  <c r="GE196" i="2"/>
  <c r="GE25" i="2"/>
  <c r="GE190" i="2"/>
  <c r="GE148" i="2"/>
  <c r="GE31" i="2"/>
  <c r="GE119" i="2"/>
  <c r="GE41" i="2"/>
  <c r="GE89" i="2"/>
  <c r="GE157" i="2"/>
  <c r="GE191" i="2"/>
  <c r="GE72" i="2"/>
  <c r="GE32" i="2"/>
  <c r="GE193" i="2"/>
  <c r="GE68" i="2"/>
  <c r="GE143" i="2"/>
  <c r="GE114" i="2"/>
  <c r="GE129" i="2"/>
  <c r="GE92" i="2"/>
  <c r="GE48" i="2"/>
  <c r="GE137" i="2"/>
  <c r="GE152" i="2"/>
  <c r="GE4" i="2"/>
  <c r="GE6" i="2"/>
  <c r="GE20" i="2"/>
  <c r="GE16" i="2"/>
  <c r="GE73" i="2"/>
  <c r="GE174" i="2"/>
  <c r="GE192" i="2"/>
  <c r="GE96" i="2"/>
  <c r="GE109" i="2"/>
  <c r="GE70" i="2"/>
  <c r="GE164" i="2"/>
  <c r="GE113" i="2"/>
  <c r="GE99" i="2"/>
  <c r="GE131" i="2"/>
  <c r="GE134" i="2"/>
  <c r="GE24" i="2"/>
  <c r="GE86" i="2"/>
  <c r="GE183" i="2"/>
  <c r="GE135" i="2"/>
  <c r="GE8" i="2"/>
  <c r="GE201" i="2"/>
  <c r="GE45" i="2"/>
  <c r="GE64" i="2"/>
  <c r="GE85" i="2"/>
  <c r="GE34" i="2"/>
  <c r="GE115" i="2"/>
  <c r="GE108" i="2"/>
  <c r="GE62" i="2"/>
  <c r="GE162" i="2"/>
  <c r="GE27" i="2"/>
  <c r="GE29" i="2"/>
  <c r="GE188" i="2"/>
  <c r="GE202" i="2"/>
  <c r="GE37" i="2"/>
  <c r="GE79" i="2"/>
  <c r="GE98" i="2"/>
  <c r="GE42" i="2"/>
  <c r="FE96" i="2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GZ95" i="2" l="1"/>
  <c r="GZ110" i="2"/>
  <c r="GZ81" i="2"/>
  <c r="GZ64" i="2"/>
  <c r="GZ29" i="2"/>
  <c r="GZ154" i="2"/>
  <c r="GZ108" i="2"/>
  <c r="GZ159" i="2"/>
  <c r="GZ146" i="2"/>
  <c r="GZ52" i="2"/>
  <c r="GZ123" i="2"/>
  <c r="GZ47" i="2"/>
  <c r="GZ137" i="2"/>
  <c r="GZ120" i="2"/>
  <c r="GZ188" i="2"/>
  <c r="GZ70" i="2"/>
  <c r="GZ184" i="2"/>
  <c r="GZ42" i="2"/>
  <c r="GZ187" i="2"/>
  <c r="GZ14" i="2"/>
  <c r="GZ148" i="2"/>
  <c r="GZ122" i="2"/>
  <c r="GZ22" i="2"/>
  <c r="GZ90" i="2"/>
  <c r="GZ34" i="2"/>
  <c r="GZ195" i="2"/>
  <c r="GZ75" i="2"/>
  <c r="GZ143" i="2"/>
  <c r="GZ193" i="2"/>
  <c r="GZ162" i="2"/>
  <c r="GZ46" i="2"/>
  <c r="GZ32" i="2"/>
  <c r="GZ115" i="2"/>
  <c r="GZ181" i="2"/>
  <c r="GZ97" i="2"/>
  <c r="GZ98" i="2"/>
  <c r="GZ186" i="2"/>
  <c r="GZ133" i="2"/>
  <c r="GZ13" i="2"/>
  <c r="GZ178" i="2"/>
  <c r="GZ12" i="2"/>
  <c r="GZ175" i="2"/>
  <c r="GZ151" i="2"/>
  <c r="GZ53" i="2"/>
  <c r="GZ182" i="2"/>
  <c r="GZ183" i="2"/>
  <c r="GZ185" i="2"/>
  <c r="GZ113" i="2"/>
  <c r="GZ71" i="2"/>
  <c r="GZ173" i="2"/>
  <c r="GZ197" i="2"/>
  <c r="GZ135" i="2"/>
  <c r="GZ136" i="2"/>
  <c r="GZ118" i="2"/>
  <c r="GZ139" i="2"/>
  <c r="GZ127" i="2"/>
  <c r="GZ89" i="2"/>
  <c r="GZ160" i="2"/>
  <c r="GZ17" i="2"/>
  <c r="GZ163" i="2"/>
  <c r="GZ199" i="2"/>
  <c r="GZ111" i="2"/>
  <c r="GZ194" i="2"/>
  <c r="GZ80" i="2"/>
  <c r="GZ15" i="2"/>
  <c r="GZ49" i="2"/>
  <c r="GZ202" i="2"/>
  <c r="GZ121" i="2"/>
  <c r="GZ99" i="2"/>
  <c r="GZ83" i="2"/>
  <c r="GZ60" i="2"/>
  <c r="GZ94" i="2"/>
  <c r="GZ93" i="2"/>
  <c r="GZ26" i="2"/>
  <c r="GZ82" i="2"/>
  <c r="GZ72" i="2"/>
  <c r="GZ43" i="2"/>
  <c r="GZ10" i="2"/>
  <c r="GZ169" i="2"/>
  <c r="GZ19" i="2"/>
  <c r="GZ140" i="2"/>
  <c r="GZ18" i="2"/>
  <c r="GZ179" i="2"/>
  <c r="GZ174" i="2"/>
  <c r="GZ100" i="2"/>
  <c r="GZ157" i="2"/>
  <c r="GZ92" i="2"/>
  <c r="GZ155" i="2"/>
  <c r="GZ180" i="2"/>
  <c r="GZ77" i="2"/>
  <c r="GZ85" i="2"/>
  <c r="GZ190" i="2"/>
  <c r="GZ125" i="2"/>
  <c r="GZ109" i="2"/>
  <c r="GZ24" i="2"/>
  <c r="GZ7" i="2"/>
  <c r="GZ106" i="2"/>
  <c r="GZ8" i="2"/>
  <c r="GZ196" i="2"/>
  <c r="GZ200" i="2"/>
  <c r="GZ124" i="2"/>
  <c r="GZ101" i="2"/>
  <c r="GZ104" i="2"/>
  <c r="GZ68" i="2"/>
  <c r="GZ79" i="2"/>
  <c r="GZ164" i="2"/>
  <c r="GZ38" i="2"/>
  <c r="GZ65" i="2"/>
  <c r="GZ30" i="2"/>
  <c r="GZ78" i="2"/>
  <c r="GZ73" i="2"/>
  <c r="GZ134" i="2"/>
  <c r="GZ48" i="2"/>
  <c r="GZ119" i="2"/>
  <c r="GZ161" i="2"/>
  <c r="GZ132" i="2"/>
  <c r="GZ192" i="2"/>
  <c r="GZ150" i="2"/>
  <c r="GZ91" i="2"/>
  <c r="GZ36" i="2"/>
  <c r="GZ54" i="2"/>
  <c r="GZ168" i="2"/>
  <c r="GZ116" i="2"/>
  <c r="GZ9" i="2"/>
  <c r="GZ158" i="2"/>
  <c r="GZ20" i="2"/>
  <c r="GZ103" i="2"/>
  <c r="GZ138" i="2"/>
  <c r="GZ25" i="2"/>
  <c r="GZ131" i="2"/>
  <c r="GZ145" i="2"/>
  <c r="GZ69" i="2"/>
  <c r="GZ27" i="2"/>
  <c r="GZ66" i="2"/>
  <c r="GZ128" i="2"/>
  <c r="GZ171" i="2"/>
  <c r="GZ147" i="2"/>
  <c r="GZ172" i="2"/>
  <c r="GZ87" i="2"/>
  <c r="GZ4" i="2"/>
  <c r="GZ5" i="2"/>
  <c r="GZ170" i="2"/>
  <c r="GZ198" i="2"/>
  <c r="GZ28" i="2"/>
  <c r="GZ96" i="2"/>
  <c r="GZ149" i="2"/>
  <c r="GZ86" i="2"/>
  <c r="GZ165" i="2"/>
  <c r="GZ88" i="2"/>
  <c r="GZ6" i="2"/>
  <c r="GZ50" i="2"/>
  <c r="GZ63" i="2"/>
  <c r="GZ117" i="2"/>
  <c r="GZ203" i="2"/>
  <c r="GZ59" i="2"/>
  <c r="GZ31" i="2"/>
  <c r="GZ23" i="2"/>
  <c r="GZ55" i="2"/>
  <c r="GZ62" i="2"/>
  <c r="GZ40" i="2"/>
  <c r="GZ11" i="2"/>
  <c r="GZ153" i="2"/>
  <c r="GZ33" i="2"/>
  <c r="GZ114" i="2"/>
  <c r="GZ61" i="2"/>
  <c r="GZ39" i="2"/>
  <c r="GZ45" i="2"/>
  <c r="GZ107" i="2"/>
  <c r="GZ167" i="2"/>
  <c r="GZ51" i="2"/>
  <c r="GZ129" i="2"/>
  <c r="GZ130" i="2"/>
  <c r="GZ102" i="2"/>
  <c r="GZ41" i="2"/>
  <c r="GZ156" i="2"/>
  <c r="GZ141" i="2"/>
  <c r="GZ189" i="2"/>
  <c r="GZ152" i="2"/>
  <c r="GZ176" i="2"/>
  <c r="GZ37" i="2"/>
  <c r="GZ177" i="2"/>
  <c r="GZ44" i="2"/>
  <c r="GZ201" i="2"/>
  <c r="GZ58" i="2"/>
  <c r="GZ16" i="2"/>
  <c r="GZ21" i="2"/>
  <c r="GZ76" i="2"/>
  <c r="GZ105" i="2"/>
  <c r="GZ191" i="2"/>
  <c r="GZ126" i="2"/>
  <c r="GZ56" i="2"/>
  <c r="GZ166" i="2"/>
  <c r="GZ144" i="2"/>
  <c r="GZ142" i="2"/>
  <c r="GZ84" i="2"/>
  <c r="GZ74" i="2"/>
  <c r="GZ35" i="2"/>
  <c r="GZ112" i="2"/>
  <c r="GZ67" i="2"/>
  <c r="GZ57" i="2"/>
  <c r="GZ3" i="2"/>
  <c r="C15" i="4" s="1"/>
  <c r="E15" i="4" s="1"/>
  <c r="F15" i="4" s="1"/>
  <c r="G15" i="4" s="1"/>
  <c r="L15" i="4" s="1"/>
  <c r="FE115" i="2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CD86" i="2" l="1"/>
  <c r="CD101" i="2"/>
  <c r="CD10" i="2"/>
  <c r="CD84" i="2"/>
  <c r="CD104" i="2"/>
  <c r="CD110" i="2"/>
  <c r="CD133" i="2"/>
  <c r="CD77" i="2"/>
  <c r="CD108" i="2"/>
  <c r="CD71" i="2"/>
  <c r="CD157" i="2"/>
  <c r="CD147" i="2"/>
  <c r="CD23" i="2"/>
  <c r="CD136" i="2"/>
  <c r="CD59" i="2"/>
  <c r="CD98" i="2"/>
  <c r="CD11" i="2"/>
  <c r="CD91" i="2"/>
  <c r="CD65" i="2"/>
  <c r="CD161" i="2"/>
  <c r="CD132" i="2"/>
  <c r="CD97" i="2"/>
  <c r="CD82" i="2"/>
  <c r="CD180" i="2"/>
  <c r="CD99" i="2"/>
  <c r="CD123" i="2"/>
  <c r="CD166" i="2"/>
  <c r="CD19" i="2"/>
  <c r="CD29" i="2"/>
  <c r="CD117" i="2"/>
  <c r="CD184" i="2"/>
  <c r="CD160" i="2"/>
  <c r="CD198" i="2"/>
  <c r="CD118" i="2"/>
  <c r="CD20" i="2"/>
  <c r="CD100" i="2"/>
  <c r="CD79" i="2"/>
  <c r="CD144" i="2"/>
  <c r="CD203" i="2"/>
  <c r="CD60" i="2"/>
  <c r="CD9" i="2"/>
  <c r="CD155" i="2"/>
  <c r="CD156" i="2"/>
  <c r="CD87" i="2"/>
  <c r="CD158" i="2"/>
  <c r="CD128" i="2"/>
  <c r="CD48" i="2"/>
  <c r="CD141" i="2"/>
  <c r="CD95" i="2"/>
  <c r="CD122" i="2"/>
  <c r="CD153" i="2"/>
  <c r="CD53" i="2"/>
  <c r="CD58" i="2"/>
  <c r="CD90" i="2"/>
  <c r="CD129" i="2"/>
  <c r="CD146" i="2"/>
  <c r="CD76" i="2"/>
  <c r="CD61" i="2"/>
  <c r="CD164" i="2"/>
  <c r="CD197" i="2"/>
  <c r="CD159" i="2"/>
  <c r="CD169" i="2"/>
  <c r="CD105" i="2"/>
  <c r="CD137" i="2"/>
  <c r="CD196" i="2"/>
  <c r="CD127" i="2"/>
  <c r="CD46" i="2"/>
  <c r="CD43" i="2"/>
  <c r="CD72" i="2"/>
  <c r="CD150" i="2"/>
  <c r="CD188" i="2"/>
  <c r="CD30" i="2"/>
  <c r="CD94" i="2"/>
  <c r="CD170" i="2"/>
  <c r="CD176" i="2"/>
  <c r="CD26" i="2"/>
  <c r="CD182" i="2"/>
  <c r="CD121" i="2"/>
  <c r="CD167" i="2"/>
  <c r="CD179" i="2"/>
  <c r="CD51" i="2"/>
  <c r="CD191" i="2"/>
  <c r="CD135" i="2"/>
  <c r="CD143" i="2"/>
  <c r="CD172" i="2"/>
  <c r="CD103" i="2"/>
  <c r="CD93" i="2"/>
  <c r="CD14" i="2"/>
  <c r="CD8" i="2"/>
  <c r="CD41" i="2"/>
  <c r="CD73" i="2"/>
  <c r="CD175" i="2"/>
  <c r="CD52" i="2"/>
  <c r="CD36" i="2"/>
  <c r="CD68" i="2"/>
  <c r="CD5" i="2"/>
  <c r="CD85" i="2"/>
  <c r="CD74" i="2"/>
  <c r="CD92" i="2"/>
  <c r="CD109" i="2"/>
  <c r="CD33" i="2"/>
  <c r="CD106" i="2"/>
  <c r="CD119" i="2"/>
  <c r="CD102" i="2"/>
  <c r="CD148" i="2"/>
  <c r="CD7" i="2"/>
  <c r="CD12" i="2"/>
  <c r="CD120" i="2"/>
  <c r="CD83" i="2"/>
  <c r="CD201" i="2"/>
  <c r="CD202" i="2"/>
  <c r="CD138" i="2"/>
  <c r="CD37" i="2"/>
  <c r="CD88" i="2"/>
  <c r="CD130" i="2"/>
  <c r="CD107" i="2"/>
  <c r="CD152" i="2"/>
  <c r="CD124" i="2"/>
  <c r="CD154" i="2"/>
  <c r="CD151" i="2"/>
  <c r="CD47" i="2"/>
  <c r="CD185" i="2"/>
  <c r="CD42" i="2"/>
  <c r="CD112" i="2"/>
  <c r="CD27" i="2"/>
  <c r="CD49" i="2"/>
  <c r="CD187" i="2"/>
  <c r="CD174" i="2"/>
  <c r="CD186" i="2"/>
  <c r="CD62" i="2"/>
  <c r="CD171" i="2"/>
  <c r="CD4" i="2"/>
  <c r="CD57" i="2"/>
  <c r="CD165" i="2"/>
  <c r="CD70" i="2"/>
  <c r="CD75" i="2"/>
  <c r="CD25" i="2"/>
  <c r="CD67" i="2"/>
  <c r="CD142" i="2"/>
  <c r="CD69" i="2"/>
  <c r="CD89" i="2"/>
  <c r="CD162" i="2"/>
  <c r="CD193" i="2"/>
  <c r="CD78" i="2"/>
  <c r="CD140" i="2"/>
  <c r="CD45" i="2"/>
  <c r="CD34" i="2"/>
  <c r="CD183" i="2"/>
  <c r="CD80" i="2"/>
  <c r="CD3" i="2"/>
  <c r="C9" i="4" s="1"/>
  <c r="E9" i="4" s="1"/>
  <c r="F9" i="4" s="1"/>
  <c r="G9" i="4" s="1"/>
  <c r="L9" i="4" s="1"/>
  <c r="CD134" i="2"/>
  <c r="CD16" i="2"/>
  <c r="CD145" i="2"/>
  <c r="CD131" i="2"/>
  <c r="CD200" i="2"/>
  <c r="CD173" i="2"/>
  <c r="CD13" i="2"/>
  <c r="CD194" i="2"/>
  <c r="CD24" i="2"/>
  <c r="CD113" i="2"/>
  <c r="CD31" i="2"/>
  <c r="CD40" i="2"/>
  <c r="CD66" i="2"/>
  <c r="CD17" i="2"/>
  <c r="CD114" i="2"/>
  <c r="CD178" i="2"/>
  <c r="CD139" i="2"/>
  <c r="CD81" i="2"/>
  <c r="CD149" i="2"/>
  <c r="CD195" i="2"/>
  <c r="CD28" i="2"/>
  <c r="CD163" i="2"/>
  <c r="CD115" i="2"/>
  <c r="CD125" i="2"/>
  <c r="CD116" i="2"/>
  <c r="CD32" i="2"/>
  <c r="CD18" i="2"/>
  <c r="CD64" i="2"/>
  <c r="CD35" i="2"/>
  <c r="CD6" i="2"/>
  <c r="CD63" i="2"/>
  <c r="CD199" i="2"/>
  <c r="CD22" i="2"/>
  <c r="CD192" i="2"/>
  <c r="CD189" i="2"/>
  <c r="CD39" i="2"/>
  <c r="CD44" i="2"/>
  <c r="CD55" i="2"/>
  <c r="CD177" i="2"/>
  <c r="CD56" i="2"/>
  <c r="CD15" i="2"/>
  <c r="CD38" i="2"/>
  <c r="CD96" i="2"/>
  <c r="CD21" i="2"/>
  <c r="CD168" i="2"/>
  <c r="CD126" i="2"/>
  <c r="CD50" i="2"/>
  <c r="CD181" i="2"/>
  <c r="CD190" i="2"/>
  <c r="CD111" i="2"/>
  <c r="CD54" i="2"/>
  <c r="FE135" i="2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124" i="2" l="1"/>
  <c r="BI47" i="2"/>
  <c r="BI146" i="2"/>
  <c r="BI83" i="2"/>
  <c r="BI185" i="2"/>
  <c r="BI14" i="2"/>
  <c r="BI163" i="2"/>
  <c r="BI88" i="2"/>
  <c r="BI53" i="2"/>
  <c r="BI117" i="2"/>
  <c r="BI156" i="2"/>
  <c r="BI39" i="2"/>
  <c r="BI147" i="2"/>
  <c r="BI105" i="2"/>
  <c r="BI11" i="2"/>
  <c r="BI132" i="2"/>
  <c r="BI174" i="2"/>
  <c r="BI119" i="2"/>
  <c r="BI21" i="2"/>
  <c r="BI123" i="2"/>
  <c r="BI55" i="2"/>
  <c r="BI73" i="2"/>
  <c r="BI6" i="2"/>
  <c r="BI149" i="2"/>
  <c r="BI148" i="2"/>
  <c r="BI203" i="2"/>
  <c r="BI177" i="2"/>
  <c r="BI49" i="2"/>
  <c r="BI169" i="2"/>
  <c r="BI87" i="2"/>
  <c r="BI166" i="2"/>
  <c r="BI101" i="2"/>
  <c r="BI86" i="2"/>
  <c r="BI145" i="2"/>
  <c r="BI96" i="2"/>
  <c r="BI29" i="2"/>
  <c r="BI52" i="2"/>
  <c r="BI115" i="2"/>
  <c r="BI75" i="2"/>
  <c r="BI202" i="2"/>
  <c r="BI30" i="2"/>
  <c r="BI32" i="2"/>
  <c r="BI44" i="2"/>
  <c r="BI182" i="2"/>
  <c r="BI36" i="2"/>
  <c r="BI51" i="2"/>
  <c r="BI155" i="2"/>
  <c r="BI191" i="2"/>
  <c r="BI183" i="2"/>
  <c r="BI165" i="2"/>
  <c r="BI133" i="2"/>
  <c r="BI184" i="2"/>
  <c r="BI140" i="2"/>
  <c r="BI22" i="2"/>
  <c r="BI62" i="2"/>
  <c r="BI178" i="2"/>
  <c r="BI13" i="2"/>
  <c r="BI112" i="2"/>
  <c r="BI122" i="2"/>
  <c r="BI144" i="2"/>
  <c r="BI12" i="2"/>
  <c r="BI91" i="2"/>
  <c r="BI116" i="2"/>
  <c r="BI97" i="2"/>
  <c r="BI79" i="2"/>
  <c r="BI187" i="2"/>
  <c r="BI78" i="2"/>
  <c r="BI60" i="2"/>
  <c r="BI67" i="2"/>
  <c r="BI4" i="2"/>
  <c r="BI134" i="2"/>
  <c r="BI195" i="2"/>
  <c r="BI103" i="2"/>
  <c r="BI81" i="2"/>
  <c r="BI24" i="2"/>
  <c r="BI56" i="2"/>
  <c r="BI157" i="2"/>
  <c r="BI199" i="2"/>
  <c r="BI170" i="2"/>
  <c r="BI63" i="2"/>
  <c r="BI136" i="2"/>
  <c r="BI120" i="2"/>
  <c r="BI85" i="2"/>
  <c r="BI37" i="2"/>
  <c r="BI181" i="2"/>
  <c r="BI23" i="2"/>
  <c r="BI196" i="2"/>
  <c r="BI7" i="2"/>
  <c r="BI17" i="2"/>
  <c r="BI104" i="2"/>
  <c r="BI173" i="2"/>
  <c r="BI197" i="2"/>
  <c r="BI58" i="2"/>
  <c r="BI138" i="2"/>
  <c r="BI162" i="2"/>
  <c r="BI65" i="2"/>
  <c r="BI68" i="2"/>
  <c r="BI135" i="2"/>
  <c r="BI168" i="2"/>
  <c r="BI72" i="2"/>
  <c r="BI48" i="2"/>
  <c r="BI19" i="2"/>
  <c r="BI179" i="2"/>
  <c r="BI27" i="2"/>
  <c r="BI114" i="2"/>
  <c r="BI77" i="2"/>
  <c r="BI100" i="2"/>
  <c r="BI31" i="2"/>
  <c r="BI151" i="2"/>
  <c r="BI8" i="2"/>
  <c r="BI193" i="2"/>
  <c r="BI26" i="2"/>
  <c r="BI34" i="2"/>
  <c r="BI118" i="2"/>
  <c r="BI92" i="2"/>
  <c r="BI190" i="2"/>
  <c r="BI159" i="2"/>
  <c r="BI59" i="2"/>
  <c r="BI82" i="2"/>
  <c r="BI57" i="2"/>
  <c r="BI125" i="2"/>
  <c r="BI143" i="2"/>
  <c r="BI150" i="2"/>
  <c r="BI80" i="2"/>
  <c r="BI161" i="2"/>
  <c r="BI54" i="2"/>
  <c r="BI41" i="2"/>
  <c r="BI110" i="2"/>
  <c r="BI167" i="2"/>
  <c r="BI108" i="2"/>
  <c r="BI5" i="2"/>
  <c r="BI50" i="2"/>
  <c r="BI90" i="2"/>
  <c r="BI84" i="2"/>
  <c r="BI15" i="2"/>
  <c r="BI200" i="2"/>
  <c r="BI106" i="2"/>
  <c r="BI198" i="2"/>
  <c r="BI121" i="2"/>
  <c r="BI201" i="2"/>
  <c r="BI66" i="2"/>
  <c r="BI28" i="2"/>
  <c r="BI137" i="2"/>
  <c r="BI71" i="2"/>
  <c r="BI69" i="2"/>
  <c r="BI127" i="2"/>
  <c r="BI46" i="2"/>
  <c r="BI70" i="2"/>
  <c r="BI43" i="2"/>
  <c r="BI128" i="2"/>
  <c r="BI126" i="2"/>
  <c r="BI40" i="2"/>
  <c r="BI94" i="2"/>
  <c r="BI172" i="2"/>
  <c r="BI74" i="2"/>
  <c r="BI180" i="2"/>
  <c r="BI113" i="2"/>
  <c r="BI25" i="2"/>
  <c r="BI188" i="2"/>
  <c r="BI99" i="2"/>
  <c r="BI141" i="2"/>
  <c r="BI89" i="2"/>
  <c r="BI18" i="2"/>
  <c r="BI160" i="2"/>
  <c r="BI45" i="2"/>
  <c r="BI171" i="2"/>
  <c r="BI152" i="2"/>
  <c r="BI153" i="2"/>
  <c r="BI3" i="2"/>
  <c r="C8" i="4" s="1"/>
  <c r="E8" i="4" s="1"/>
  <c r="F8" i="4" s="1"/>
  <c r="G8" i="4" s="1"/>
  <c r="L8" i="4" s="1"/>
  <c r="BI107" i="2"/>
  <c r="BI98" i="2"/>
  <c r="BI61" i="2"/>
  <c r="BI76" i="2"/>
  <c r="BI109" i="2"/>
  <c r="BI16" i="2"/>
  <c r="BI164" i="2"/>
  <c r="BI189" i="2"/>
  <c r="BI139" i="2"/>
  <c r="BI20" i="2"/>
  <c r="BI192" i="2"/>
  <c r="BI154" i="2"/>
  <c r="BI142" i="2"/>
  <c r="BI93" i="2"/>
  <c r="BI186" i="2"/>
  <c r="BI158" i="2"/>
  <c r="BI33" i="2"/>
  <c r="BI175" i="2"/>
  <c r="BI176" i="2"/>
  <c r="BI64" i="2"/>
  <c r="BI102" i="2"/>
  <c r="BI131" i="2"/>
  <c r="BI111" i="2"/>
  <c r="BI10" i="2"/>
  <c r="BI38" i="2"/>
  <c r="BI9" i="2"/>
  <c r="BI129" i="2"/>
  <c r="BI42" i="2"/>
  <c r="BI35" i="2"/>
  <c r="BI130" i="2"/>
  <c r="BI194" i="2"/>
  <c r="BI95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<sst xmlns="http://schemas.openxmlformats.org/spreadsheetml/2006/main" count="1179" uniqueCount="324">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</sst>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0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1.8463208932076591</c:v>
                </c:pt>
                <c:pt idx="2">
                  <c:v>2.2449637221911352</c:v>
                </c:pt>
                <c:pt idx="3">
                  <c:v>2.7300095763503163</c:v>
                </c:pt>
                <c:pt idx="4">
                  <c:v>3.3202536101890168</c:v>
                </c:pt>
                <c:pt idx="5">
                  <c:v>4.0385933350027141</c:v>
                </c:pt>
                <c:pt idx="6">
                  <c:v>4.9129268485794588</c:v>
                </c:pt>
                <c:pt idx="7">
                  <c:v>5.977248308596157</c:v>
                </c:pt>
                <c:pt idx="8">
                  <c:v>7.272984078441648</c:v>
                </c:pt>
                <c:pt idx="9">
                  <c:v>8.8506225595668653</c:v>
                </c:pt>
                <c:pt idx="10">
                  <c:v>10.771702430152191</c:v>
                </c:pt>
                <c:pt idx="11">
                  <c:v>13.111238305856004</c:v>
                </c:pt>
                <c:pt idx="12">
                  <c:v>15.960680298983979</c:v>
                </c:pt>
                <c:pt idx="13">
                  <c:v>19.431525279476187</c:v>
                </c:pt>
                <c:pt idx="14">
                  <c:v>23.659723692470578</c:v>
                </c:pt>
                <c:pt idx="15">
                  <c:v>28.811057611332387</c:v>
                </c:pt>
                <c:pt idx="16">
                  <c:v>32.826307859701934</c:v>
                </c:pt>
                <c:pt idx="17">
                  <c:v>36.827994779392817</c:v>
                </c:pt>
                <c:pt idx="18">
                  <c:v>40.817806972070983</c:v>
                </c:pt>
                <c:pt idx="19">
                  <c:v>44.79707392200919</c:v>
                </c:pt>
                <c:pt idx="20">
                  <c:v>48.766868321352128</c:v>
                </c:pt>
                <c:pt idx="21">
                  <c:v>54.615291695056577</c:v>
                </c:pt>
                <c:pt idx="22">
                  <c:v>60.447243260213298</c:v>
                </c:pt>
                <c:pt idx="23">
                  <c:v>66.264541483471248</c:v>
                </c:pt>
                <c:pt idx="24">
                  <c:v>72.068658057827705</c:v>
                </c:pt>
                <c:pt idx="25">
                  <c:v>77.860807323561289</c:v>
                </c:pt>
                <c:pt idx="26">
                  <c:v>85.131877110508995</c:v>
                </c:pt>
                <c:pt idx="27">
                  <c:v>92.387300937099027</c:v>
                </c:pt>
                <c:pt idx="28">
                  <c:v>99.628483492558303</c:v>
                </c:pt>
                <c:pt idx="29">
                  <c:v>106.85660799258731</c:v>
                </c:pt>
                <c:pt idx="30">
                  <c:v>114.07268406888512</c:v>
                </c:pt>
                <c:pt idx="31">
                  <c:v>122.43833050463235</c:v>
                </c:pt>
                <c:pt idx="32">
                  <c:v>130.79007722376096</c:v>
                </c:pt>
                <c:pt idx="33">
                  <c:v>139.12893836242094</c:v>
                </c:pt>
                <c:pt idx="34">
                  <c:v>147.45579631384916</c:v>
                </c:pt>
                <c:pt idx="35">
                  <c:v>155.77142548420065</c:v>
                </c:pt>
                <c:pt idx="36">
                  <c:v>164.07651069716627</c:v>
                </c:pt>
                <c:pt idx="37">
                  <c:v>127.20829411634475</c:v>
                </c:pt>
                <c:pt idx="38">
                  <c:v>134.81542378123416</c:v>
                </c:pt>
                <c:pt idx="39">
                  <c:v>142.41221295593488</c:v>
                </c:pt>
                <c:pt idx="40">
                  <c:v>149.99929195346505</c:v>
                </c:pt>
                <c:pt idx="41">
                  <c:v>157.57722199222684</c:v>
                </c:pt>
                <c:pt idx="42">
                  <c:v>165.1465058037152</c:v>
                </c:pt>
                <c:pt idx="43">
                  <c:v>172.70759618940016</c:v>
                </c:pt>
                <c:pt idx="44">
                  <c:v>180.2609029976378</c:v>
                </c:pt>
                <c:pt idx="45">
                  <c:v>188.46553650568126</c:v>
                </c:pt>
                <c:pt idx="46">
                  <c:v>196.66184315116777</c:v>
                </c:pt>
                <c:pt idx="47">
                  <c:v>204.85021936559886</c:v>
                </c:pt>
                <c:pt idx="48">
                  <c:v>213.03102725548104</c:v>
                </c:pt>
                <c:pt idx="49">
                  <c:v>221.20459880765301</c:v>
                </c:pt>
                <c:pt idx="50">
                  <c:v>229.37123943966768</c:v>
                </c:pt>
                <c:pt idx="51">
                  <c:v>237.53123101741502</c:v>
                </c:pt>
                <c:pt idx="52">
                  <c:v>245.68483443587479</c:v>
                </c:pt>
                <c:pt idx="53">
                  <c:v>154.42569363475363</c:v>
                </c:pt>
                <c:pt idx="54">
                  <c:v>160.72655611423238</c:v>
                </c:pt>
                <c:pt idx="55">
                  <c:v>167.02156916837251</c:v>
                </c:pt>
                <c:pt idx="56">
                  <c:v>173.31098477855497</c:v>
                </c:pt>
                <c:pt idx="57">
                  <c:v>179.59503510846969</c:v>
                </c:pt>
                <c:pt idx="58">
                  <c:v>185.87393471738528</c:v>
                </c:pt>
                <c:pt idx="59">
                  <c:v>192.14788245815853</c:v>
                </c:pt>
                <c:pt idx="60">
                  <c:v>198.72560532396037</c:v>
                </c:pt>
                <c:pt idx="61">
                  <c:v>205.29827852462654</c:v>
                </c:pt>
                <c:pt idx="62">
                  <c:v>211.86608679668555</c:v>
                </c:pt>
                <c:pt idx="63">
                  <c:v>218.42920246911339</c:v>
                </c:pt>
                <c:pt idx="64">
                  <c:v>224.98778665285246</c:v>
                </c:pt>
                <c:pt idx="65">
                  <c:v>231.54199028417233</c:v>
                </c:pt>
                <c:pt idx="66">
                  <c:v>238.09195504354997</c:v>
                </c:pt>
                <c:pt idx="67">
                  <c:v>244.86309808529651</c:v>
                </c:pt>
                <c:pt idx="68">
                  <c:v>251.62998668146909</c:v>
                </c:pt>
                <c:pt idx="69">
                  <c:v>258.39275154179029</c:v>
                </c:pt>
                <c:pt idx="70">
                  <c:v>265.15151596613208</c:v>
                </c:pt>
                <c:pt idx="71">
                  <c:v>271.90639644698263</c:v>
                </c:pt>
                <c:pt idx="72">
                  <c:v>278.65750320884928</c:v>
                </c:pt>
                <c:pt idx="73">
                  <c:v>285.40494069259944</c:v>
                </c:pt>
                <c:pt idx="74">
                  <c:v>292.14880799155861</c:v>
                </c:pt>
                <c:pt idx="75">
                  <c:v>151.59661212013742</c:v>
                </c:pt>
                <c:pt idx="76">
                  <c:v>156.10979525291137</c:v>
                </c:pt>
                <c:pt idx="77">
                  <c:v>160.6198793705461</c:v>
                </c:pt>
                <c:pt idx="78">
                  <c:v>165.12696398647461</c:v>
                </c:pt>
                <c:pt idx="79">
                  <c:v>169.63114272494099</c:v>
                </c:pt>
                <c:pt idx="80">
                  <c:v>174.13250382029614</c:v>
                </c:pt>
                <c:pt idx="81">
                  <c:v>178.63113056185384</c:v>
                </c:pt>
                <c:pt idx="82">
                  <c:v>183.12710169149531</c:v>
                </c:pt>
                <c:pt idx="83">
                  <c:v>187.79323042854557</c:v>
                </c:pt>
                <c:pt idx="84">
                  <c:v>192.45665483077241</c:v>
                </c:pt>
                <c:pt idx="85">
                  <c:v>197.11744981958063</c:v>
                </c:pt>
                <c:pt idx="86">
                  <c:v>201.77568647644307</c:v>
                </c:pt>
                <c:pt idx="87">
                  <c:v>206.43143232587249</c:v>
                </c:pt>
                <c:pt idx="88">
                  <c:v>211.08475159148273</c:v>
                </c:pt>
                <c:pt idx="89">
                  <c:v>215.73570542824973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8153744"/>
        <c:axId val="1948150480"/>
      </c:scatterChart>
      <c:valAx>
        <c:axId val="19481537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48150480"/>
        <c:crosses val="autoZero"/>
        <c:crossBetween val="midCat"/>
      </c:valAx>
      <c:valAx>
        <c:axId val="1948150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481537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2.0488154632069886</c:v>
                </c:pt>
                <c:pt idx="2">
                  <c:v>2.4233379605482943</c:v>
                </c:pt>
                <c:pt idx="3">
                  <c:v>2.866578504764091</c:v>
                </c:pt>
                <c:pt idx="4">
                  <c:v>3.3911899510511758</c:v>
                </c:pt>
                <c:pt idx="5">
                  <c:v>4.0121625565625862</c:v>
                </c:pt>
                <c:pt idx="6">
                  <c:v>4.7472570973955088</c:v>
                </c:pt>
                <c:pt idx="7">
                  <c:v>5.6175184684232375</c:v>
                </c:pt>
                <c:pt idx="8">
                  <c:v>6.6478847603431106</c:v>
                </c:pt>
                <c:pt idx="9">
                  <c:v>7.8679096084758688</c:v>
                </c:pt>
                <c:pt idx="10">
                  <c:v>9.3126189320690731</c:v>
                </c:pt>
                <c:pt idx="11">
                  <c:v>11.023527129397273</c:v>
                </c:pt>
                <c:pt idx="12">
                  <c:v>13.049842479543365</c:v>
                </c:pt>
                <c:pt idx="13">
                  <c:v>15.449897065050889</c:v>
                </c:pt>
                <c:pt idx="14">
                  <c:v>18.292843135377566</c:v>
                </c:pt>
                <c:pt idx="15">
                  <c:v>21.660665674944756</c:v>
                </c:pt>
                <c:pt idx="16">
                  <c:v>25.650570254048265</c:v>
                </c:pt>
                <c:pt idx="17">
                  <c:v>30.37781630218231</c:v>
                </c:pt>
                <c:pt idx="18">
                  <c:v>35.979079079598641</c:v>
                </c:pt>
                <c:pt idx="19">
                  <c:v>42.616439224095039</c:v>
                </c:pt>
                <c:pt idx="20">
                  <c:v>50.482117279404498</c:v>
                </c:pt>
                <c:pt idx="21">
                  <c:v>58.16181873764787</c:v>
                </c:pt>
                <c:pt idx="22">
                  <c:v>65.814996070517722</c:v>
                </c:pt>
                <c:pt idx="23">
                  <c:v>73.445178399885819</c:v>
                </c:pt>
                <c:pt idx="24">
                  <c:v>81.055098058555316</c:v>
                </c:pt>
                <c:pt idx="25">
                  <c:v>88.646930299783762</c:v>
                </c:pt>
                <c:pt idx="26">
                  <c:v>72.873647752058218</c:v>
                </c:pt>
                <c:pt idx="27">
                  <c:v>80.865078632389711</c:v>
                </c:pt>
                <c:pt idx="28">
                  <c:v>88.83651038316475</c:v>
                </c:pt>
                <c:pt idx="29">
                  <c:v>96.789994536951909</c:v>
                </c:pt>
                <c:pt idx="30">
                  <c:v>104.72721683831718</c:v>
                </c:pt>
                <c:pt idx="31">
                  <c:v>112.46112117939744</c:v>
                </c:pt>
                <c:pt idx="32">
                  <c:v>120.1819843481781</c:v>
                </c:pt>
                <c:pt idx="33">
                  <c:v>127.89076379214985</c:v>
                </c:pt>
                <c:pt idx="34">
                  <c:v>135.58829184927444</c:v>
                </c:pt>
                <c:pt idx="35">
                  <c:v>143.27529843266893</c:v>
                </c:pt>
                <c:pt idx="36">
                  <c:v>119.80564445348506</c:v>
                </c:pt>
                <c:pt idx="37">
                  <c:v>127.32709772566024</c:v>
                </c:pt>
                <c:pt idx="38">
                  <c:v>134.83778772804268</c:v>
                </c:pt>
                <c:pt idx="39">
                  <c:v>142.33839958376393</c:v>
                </c:pt>
                <c:pt idx="40">
                  <c:v>149.82954016541169</c:v>
                </c:pt>
                <c:pt idx="41">
                  <c:v>156.93784445895773</c:v>
                </c:pt>
                <c:pt idx="42">
                  <c:v>164.03850682882037</c:v>
                </c:pt>
                <c:pt idx="43">
                  <c:v>171.13190528405354</c:v>
                </c:pt>
                <c:pt idx="44">
                  <c:v>178.21838388104675</c:v>
                </c:pt>
                <c:pt idx="45">
                  <c:v>185.29825703239024</c:v>
                </c:pt>
                <c:pt idx="46">
                  <c:v>160.11537784137965</c:v>
                </c:pt>
                <c:pt idx="47">
                  <c:v>166.65269031760442</c:v>
                </c:pt>
                <c:pt idx="48">
                  <c:v>173.18395156066791</c:v>
                </c:pt>
                <c:pt idx="49">
                  <c:v>179.70942238196071</c:v>
                </c:pt>
                <c:pt idx="50">
                  <c:v>186.22934307037499</c:v>
                </c:pt>
                <c:pt idx="51">
                  <c:v>192.55787649601575</c:v>
                </c:pt>
                <c:pt idx="52">
                  <c:v>198.88157087854589</c:v>
                </c:pt>
                <c:pt idx="53">
                  <c:v>205.20060205341622</c:v>
                </c:pt>
                <c:pt idx="54">
                  <c:v>211.51513412362723</c:v>
                </c:pt>
                <c:pt idx="55">
                  <c:v>217.82532057738879</c:v>
                </c:pt>
                <c:pt idx="56">
                  <c:v>191.99967379876816</c:v>
                </c:pt>
                <c:pt idx="57">
                  <c:v>197.76596851143424</c:v>
                </c:pt>
                <c:pt idx="58">
                  <c:v>203.52836171120327</c:v>
                </c:pt>
                <c:pt idx="59">
                  <c:v>209.28697964868505</c:v>
                </c:pt>
                <c:pt idx="60">
                  <c:v>215.04194104688654</c:v>
                </c:pt>
                <c:pt idx="61">
                  <c:v>220.79335774407801</c:v>
                </c:pt>
                <c:pt idx="62">
                  <c:v>226.54133526606731</c:v>
                </c:pt>
                <c:pt idx="63">
                  <c:v>232.28597333726671</c:v>
                </c:pt>
                <c:pt idx="64">
                  <c:v>238.02736633848522</c:v>
                </c:pt>
                <c:pt idx="65">
                  <c:v>243.76560371817754</c:v>
                </c:pt>
                <c:pt idx="66">
                  <c:v>218.19637580534945</c:v>
                </c:pt>
                <c:pt idx="67">
                  <c:v>223.20421277300954</c:v>
                </c:pt>
                <c:pt idx="68">
                  <c:v>228.20947315892622</c:v>
                </c:pt>
                <c:pt idx="69">
                  <c:v>233.21222155682344</c:v>
                </c:pt>
                <c:pt idx="70">
                  <c:v>238.21251955778698</c:v>
                </c:pt>
                <c:pt idx="71">
                  <c:v>243.02536029283638</c:v>
                </c:pt>
                <c:pt idx="72">
                  <c:v>247.83603350993602</c:v>
                </c:pt>
                <c:pt idx="73">
                  <c:v>252.64458729693862</c:v>
                </c:pt>
                <c:pt idx="74">
                  <c:v>257.45106775849973</c:v>
                </c:pt>
                <c:pt idx="75">
                  <c:v>262.25551913421668</c:v>
                </c:pt>
                <c:pt idx="76">
                  <c:v>239.13823650698612</c:v>
                </c:pt>
                <c:pt idx="77">
                  <c:v>243.76560371817754</c:v>
                </c:pt>
                <c:pt idx="78">
                  <c:v>248.39097391329733</c:v>
                </c:pt>
                <c:pt idx="79">
                  <c:v>253.01438959744223</c:v>
                </c:pt>
                <c:pt idx="80">
                  <c:v>257.63589159264626</c:v>
                </c:pt>
                <c:pt idx="81">
                  <c:v>261.88601701277696</c:v>
                </c:pt>
                <c:pt idx="82">
                  <c:v>266.13458534165011</c:v>
                </c:pt>
                <c:pt idx="83">
                  <c:v>270.38162499128015</c:v>
                </c:pt>
                <c:pt idx="84">
                  <c:v>274.62716340664116</c:v>
                </c:pt>
                <c:pt idx="85">
                  <c:v>278.87122711336787</c:v>
                </c:pt>
                <c:pt idx="86">
                  <c:v>257.0814110835683</c:v>
                </c:pt>
                <c:pt idx="87">
                  <c:v>261.14697743122935</c:v>
                </c:pt>
                <c:pt idx="88">
                  <c:v>265.21111453546013</c:v>
                </c:pt>
                <c:pt idx="89">
                  <c:v>269.2738474313806</c:v>
                </c:pt>
                <c:pt idx="90">
                  <c:v>273.33520033559716</c:v>
                </c:pt>
                <c:pt idx="91">
                  <c:v>277.2106805023675</c:v>
                </c:pt>
                <c:pt idx="92">
                  <c:v>281.08494439129078</c:v>
                </c:pt>
                <c:pt idx="93">
                  <c:v>284.95801116402555</c:v>
                </c:pt>
                <c:pt idx="94">
                  <c:v>288.82989941789356</c:v>
                </c:pt>
                <c:pt idx="95">
                  <c:v>292.7006272100171</c:v>
                </c:pt>
                <c:pt idx="96">
                  <c:v>272.41228553342597</c:v>
                </c:pt>
                <c:pt idx="97">
                  <c:v>276.10352541719226</c:v>
                </c:pt>
                <c:pt idx="98">
                  <c:v>279.79365704229639</c:v>
                </c:pt>
                <c:pt idx="99">
                  <c:v>283.48269711634811</c:v>
                </c:pt>
                <c:pt idx="100">
                  <c:v>287.17066187581457</c:v>
                </c:pt>
                <c:pt idx="101">
                  <c:v>290.48892382040066</c:v>
                </c:pt>
                <c:pt idx="102">
                  <c:v>293.80633875741159</c:v>
                </c:pt>
                <c:pt idx="103">
                  <c:v>297.12291761878532</c:v>
                </c:pt>
                <c:pt idx="104">
                  <c:v>300.43867107203454</c:v>
                </c:pt>
                <c:pt idx="105">
                  <c:v>303.75360952955981</c:v>
                </c:pt>
                <c:pt idx="106">
                  <c:v>307.25183829459121</c:v>
                </c:pt>
                <c:pt idx="107">
                  <c:v>310.74918198729853</c:v>
                </c:pt>
                <c:pt idx="108">
                  <c:v>314.24565199241732</c:v>
                </c:pt>
                <c:pt idx="109">
                  <c:v>317.74125942022346</c:v>
                </c:pt>
                <c:pt idx="110">
                  <c:v>321.23601511616647</c:v>
                </c:pt>
                <c:pt idx="111">
                  <c:v>2.1921244502123119E-12</c:v>
                </c:pt>
                <c:pt idx="112">
                  <c:v>2.1921244502123119E-12</c:v>
                </c:pt>
                <c:pt idx="113">
                  <c:v>2.1921244502123119E-12</c:v>
                </c:pt>
                <c:pt idx="114">
                  <c:v>2.1921244502123119E-12</c:v>
                </c:pt>
                <c:pt idx="115">
                  <c:v>2.1921244502123119E-12</c:v>
                </c:pt>
                <c:pt idx="116">
                  <c:v>2.1921244502123119E-12</c:v>
                </c:pt>
                <c:pt idx="117">
                  <c:v>2.1921244502123119E-12</c:v>
                </c:pt>
                <c:pt idx="118">
                  <c:v>2.1921244502123119E-12</c:v>
                </c:pt>
                <c:pt idx="119">
                  <c:v>2.1921244502123119E-12</c:v>
                </c:pt>
                <c:pt idx="120">
                  <c:v>2.1921244502123119E-12</c:v>
                </c:pt>
                <c:pt idx="121">
                  <c:v>2.1921244502123119E-12</c:v>
                </c:pt>
                <c:pt idx="122">
                  <c:v>2.1921244502123119E-12</c:v>
                </c:pt>
                <c:pt idx="123">
                  <c:v>2.1921244502123119E-12</c:v>
                </c:pt>
                <c:pt idx="124">
                  <c:v>2.1921244502123119E-12</c:v>
                </c:pt>
                <c:pt idx="125">
                  <c:v>2.1921244502123119E-12</c:v>
                </c:pt>
                <c:pt idx="126">
                  <c:v>2.1921244502123119E-12</c:v>
                </c:pt>
                <c:pt idx="127">
                  <c:v>2.1921244502123119E-12</c:v>
                </c:pt>
                <c:pt idx="128">
                  <c:v>2.1921244502123119E-12</c:v>
                </c:pt>
                <c:pt idx="129">
                  <c:v>2.1921244502123119E-12</c:v>
                </c:pt>
                <c:pt idx="130">
                  <c:v>2.1921244502123119E-12</c:v>
                </c:pt>
                <c:pt idx="131">
                  <c:v>2.1921244502123119E-12</c:v>
                </c:pt>
                <c:pt idx="132">
                  <c:v>2.1921244502123119E-12</c:v>
                </c:pt>
                <c:pt idx="133">
                  <c:v>2.1921244502123119E-12</c:v>
                </c:pt>
                <c:pt idx="134">
                  <c:v>2.1921244502123119E-12</c:v>
                </c:pt>
                <c:pt idx="135">
                  <c:v>2.1921244502123119E-12</c:v>
                </c:pt>
                <c:pt idx="136">
                  <c:v>2.1921244502123119E-12</c:v>
                </c:pt>
                <c:pt idx="137">
                  <c:v>2.1921244502123119E-12</c:v>
                </c:pt>
                <c:pt idx="138">
                  <c:v>2.1921244502123119E-12</c:v>
                </c:pt>
                <c:pt idx="139">
                  <c:v>2.1921244502123119E-12</c:v>
                </c:pt>
                <c:pt idx="140">
                  <c:v>2.1921244502123119E-12</c:v>
                </c:pt>
                <c:pt idx="141">
                  <c:v>2.1921244502123119E-12</c:v>
                </c:pt>
                <c:pt idx="142">
                  <c:v>2.1921244502123119E-12</c:v>
                </c:pt>
                <c:pt idx="143">
                  <c:v>2.1921244502123119E-12</c:v>
                </c:pt>
                <c:pt idx="144">
                  <c:v>2.1921244502123119E-12</c:v>
                </c:pt>
                <c:pt idx="145">
                  <c:v>2.1921244502123119E-12</c:v>
                </c:pt>
                <c:pt idx="146">
                  <c:v>2.1921244502123119E-12</c:v>
                </c:pt>
                <c:pt idx="147">
                  <c:v>2.1921244502123119E-12</c:v>
                </c:pt>
                <c:pt idx="148">
                  <c:v>2.1921244502123119E-12</c:v>
                </c:pt>
                <c:pt idx="149">
                  <c:v>2.1921244502123119E-12</c:v>
                </c:pt>
                <c:pt idx="150">
                  <c:v>2.1921244502123119E-12</c:v>
                </c:pt>
                <c:pt idx="151">
                  <c:v>2.1921244502123119E-12</c:v>
                </c:pt>
                <c:pt idx="152">
                  <c:v>2.1921244502123119E-12</c:v>
                </c:pt>
                <c:pt idx="153">
                  <c:v>2.1921244502123119E-12</c:v>
                </c:pt>
                <c:pt idx="154">
                  <c:v>2.1921244502123119E-12</c:v>
                </c:pt>
                <c:pt idx="155">
                  <c:v>2.1921244502123119E-12</c:v>
                </c:pt>
                <c:pt idx="156">
                  <c:v>2.1921244502123119E-12</c:v>
                </c:pt>
                <c:pt idx="157">
                  <c:v>2.1921244502123119E-12</c:v>
                </c:pt>
                <c:pt idx="158">
                  <c:v>2.1921244502123119E-12</c:v>
                </c:pt>
                <c:pt idx="159">
                  <c:v>2.1921244502123119E-12</c:v>
                </c:pt>
                <c:pt idx="160">
                  <c:v>2.1921244502123119E-12</c:v>
                </c:pt>
                <c:pt idx="161">
                  <c:v>2.1921244502123119E-12</c:v>
                </c:pt>
                <c:pt idx="162">
                  <c:v>2.1921244502123119E-12</c:v>
                </c:pt>
                <c:pt idx="163">
                  <c:v>2.1921244502123119E-12</c:v>
                </c:pt>
                <c:pt idx="164">
                  <c:v>2.1921244502123119E-12</c:v>
                </c:pt>
                <c:pt idx="165">
                  <c:v>2.1921244502123119E-12</c:v>
                </c:pt>
                <c:pt idx="166">
                  <c:v>2.1921244502123119E-12</c:v>
                </c:pt>
                <c:pt idx="167">
                  <c:v>2.1921244502123119E-12</c:v>
                </c:pt>
                <c:pt idx="168">
                  <c:v>2.1921244502123119E-12</c:v>
                </c:pt>
                <c:pt idx="169">
                  <c:v>2.1921244502123119E-12</c:v>
                </c:pt>
                <c:pt idx="170">
                  <c:v>2.1921244502123119E-12</c:v>
                </c:pt>
                <c:pt idx="171">
                  <c:v>2.1921244502123119E-12</c:v>
                </c:pt>
                <c:pt idx="172">
                  <c:v>2.1921244502123119E-12</c:v>
                </c:pt>
                <c:pt idx="173">
                  <c:v>2.1921244502123119E-12</c:v>
                </c:pt>
                <c:pt idx="174">
                  <c:v>2.1921244502123119E-12</c:v>
                </c:pt>
                <c:pt idx="175">
                  <c:v>2.1921244502123119E-12</c:v>
                </c:pt>
                <c:pt idx="176">
                  <c:v>2.1921244502123119E-12</c:v>
                </c:pt>
                <c:pt idx="177">
                  <c:v>2.1921244502123119E-12</c:v>
                </c:pt>
                <c:pt idx="178">
                  <c:v>2.1921244502123119E-12</c:v>
                </c:pt>
                <c:pt idx="179">
                  <c:v>2.1921244502123119E-12</c:v>
                </c:pt>
                <c:pt idx="180">
                  <c:v>2.1921244502123119E-12</c:v>
                </c:pt>
                <c:pt idx="181">
                  <c:v>2.1921244502123119E-12</c:v>
                </c:pt>
                <c:pt idx="182">
                  <c:v>2.1921244502123119E-12</c:v>
                </c:pt>
                <c:pt idx="183">
                  <c:v>2.1921244502123119E-12</c:v>
                </c:pt>
                <c:pt idx="184">
                  <c:v>2.1921244502123119E-12</c:v>
                </c:pt>
                <c:pt idx="185">
                  <c:v>2.1921244502123119E-12</c:v>
                </c:pt>
                <c:pt idx="186">
                  <c:v>2.1921244502123119E-12</c:v>
                </c:pt>
                <c:pt idx="187">
                  <c:v>2.1921244502123119E-12</c:v>
                </c:pt>
                <c:pt idx="188">
                  <c:v>2.1921244502123119E-12</c:v>
                </c:pt>
                <c:pt idx="189">
                  <c:v>2.1921244502123119E-12</c:v>
                </c:pt>
                <c:pt idx="190">
                  <c:v>2.1921244502123119E-12</c:v>
                </c:pt>
                <c:pt idx="191">
                  <c:v>2.1921244502123119E-12</c:v>
                </c:pt>
                <c:pt idx="192">
                  <c:v>2.1921244502123119E-12</c:v>
                </c:pt>
                <c:pt idx="193">
                  <c:v>2.1921244502123119E-12</c:v>
                </c:pt>
                <c:pt idx="194">
                  <c:v>2.1921244502123119E-12</c:v>
                </c:pt>
                <c:pt idx="195">
                  <c:v>2.1921244502123119E-12</c:v>
                </c:pt>
                <c:pt idx="196">
                  <c:v>2.1921244502123119E-12</c:v>
                </c:pt>
                <c:pt idx="197">
                  <c:v>2.1921244502123119E-12</c:v>
                </c:pt>
                <c:pt idx="198">
                  <c:v>2.1921244502123119E-12</c:v>
                </c:pt>
                <c:pt idx="199">
                  <c:v>2.1921244502123119E-12</c:v>
                </c:pt>
                <c:pt idx="200">
                  <c:v>2.1921244502123119E-12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5860304"/>
        <c:axId val="385862480"/>
      </c:scatterChart>
      <c:valAx>
        <c:axId val="385860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862480"/>
        <c:crosses val="autoZero"/>
        <c:crossBetween val="midCat"/>
      </c:valAx>
      <c:valAx>
        <c:axId val="385862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860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1.764623946992776</c:v>
                </c:pt>
                <c:pt idx="2">
                  <c:v>2.296820149719109</c:v>
                </c:pt>
                <c:pt idx="3">
                  <c:v>2.9901813361334599</c:v>
                </c:pt>
                <c:pt idx="4">
                  <c:v>3.8937015078679331</c:v>
                </c:pt>
                <c:pt idx="5">
                  <c:v>5.0713224460225206</c:v>
                </c:pt>
                <c:pt idx="6">
                  <c:v>6.6065094082284403</c:v>
                </c:pt>
                <c:pt idx="7">
                  <c:v>8.6082318034868219</c:v>
                </c:pt>
                <c:pt idx="8">
                  <c:v>11.218781457943201</c:v>
                </c:pt>
                <c:pt idx="9">
                  <c:v>14.623994632945491</c:v>
                </c:pt>
                <c:pt idx="10">
                  <c:v>19.066618826697646</c:v>
                </c:pt>
                <c:pt idx="11">
                  <c:v>24.86379439475003</c:v>
                </c:pt>
                <c:pt idx="12">
                  <c:v>32.429920954599254</c:v>
                </c:pt>
                <c:pt idx="13">
                  <c:v>42.306571406283155</c:v>
                </c:pt>
                <c:pt idx="14">
                  <c:v>55.201631057160647</c:v>
                </c:pt>
                <c:pt idx="15">
                  <c:v>72.040513611415278</c:v>
                </c:pt>
                <c:pt idx="16">
                  <c:v>77.773664376116372</c:v>
                </c:pt>
                <c:pt idx="17">
                  <c:v>83.496074849233494</c:v>
                </c:pt>
                <c:pt idx="18">
                  <c:v>89.208586896212196</c:v>
                </c:pt>
                <c:pt idx="19">
                  <c:v>94.911925413388516</c:v>
                </c:pt>
                <c:pt idx="20">
                  <c:v>100.60672079779079</c:v>
                </c:pt>
                <c:pt idx="21">
                  <c:v>106.01963887584141</c:v>
                </c:pt>
                <c:pt idx="22">
                  <c:v>111.42574146198729</c:v>
                </c:pt>
                <c:pt idx="23">
                  <c:v>116.82540670207005</c:v>
                </c:pt>
                <c:pt idx="24">
                  <c:v>122.21897483770141</c:v>
                </c:pt>
                <c:pt idx="25">
                  <c:v>127.60675354961728</c:v>
                </c:pt>
                <c:pt idx="26">
                  <c:v>132.69393085556803</c:v>
                </c:pt>
                <c:pt idx="27">
                  <c:v>137.77640210827045</c:v>
                </c:pt>
                <c:pt idx="28">
                  <c:v>142.85436582783782</c:v>
                </c:pt>
                <c:pt idx="29">
                  <c:v>147.92800523363056</c:v>
                </c:pt>
                <c:pt idx="30">
                  <c:v>152.99748992007059</c:v>
                </c:pt>
                <c:pt idx="31">
                  <c:v>157.79171078410377</c:v>
                </c:pt>
                <c:pt idx="32">
                  <c:v>162.58247563222284</c:v>
                </c:pt>
                <c:pt idx="33">
                  <c:v>167.3699009135029</c:v>
                </c:pt>
                <c:pt idx="34">
                  <c:v>172.15409585565814</c:v>
                </c:pt>
                <c:pt idx="35">
                  <c:v>176.93516310576456</c:v>
                </c:pt>
                <c:pt idx="36">
                  <c:v>181.44282374804382</c:v>
                </c:pt>
                <c:pt idx="37">
                  <c:v>185.94786343585926</c:v>
                </c:pt>
                <c:pt idx="38">
                  <c:v>190.45035477579162</c:v>
                </c:pt>
                <c:pt idx="39">
                  <c:v>194.95036665337298</c:v>
                </c:pt>
                <c:pt idx="40">
                  <c:v>199.44796450728052</c:v>
                </c:pt>
                <c:pt idx="41">
                  <c:v>203.65108987123605</c:v>
                </c:pt>
                <c:pt idx="42">
                  <c:v>207.85220779220188</c:v>
                </c:pt>
                <c:pt idx="43">
                  <c:v>212.05136466234387</c:v>
                </c:pt>
                <c:pt idx="44">
                  <c:v>216.24860488245022</c:v>
                </c:pt>
                <c:pt idx="45">
                  <c:v>220.44397098530553</c:v>
                </c:pt>
                <c:pt idx="46">
                  <c:v>224.36845432498737</c:v>
                </c:pt>
                <c:pt idx="47">
                  <c:v>228.29136419539643</c:v>
                </c:pt>
                <c:pt idx="48">
                  <c:v>232.2127315100486</c:v>
                </c:pt>
                <c:pt idx="49">
                  <c:v>236.1325860509443</c:v>
                </c:pt>
                <c:pt idx="50">
                  <c:v>240.05095652852057</c:v>
                </c:pt>
                <c:pt idx="51">
                  <c:v>243.69932819540043</c:v>
                </c:pt>
                <c:pt idx="52">
                  <c:v>247.34645801142526</c:v>
                </c:pt>
                <c:pt idx="53">
                  <c:v>250.99236691134732</c:v>
                </c:pt>
                <c:pt idx="54">
                  <c:v>254.63707517082025</c:v>
                </c:pt>
                <c:pt idx="55">
                  <c:v>258.28060243650776</c:v>
                </c:pt>
                <c:pt idx="56">
                  <c:v>261.63251456340157</c:v>
                </c:pt>
                <c:pt idx="57">
                  <c:v>264.98345711165751</c:v>
                </c:pt>
                <c:pt idx="58">
                  <c:v>268.3334440987598</c:v>
                </c:pt>
                <c:pt idx="59">
                  <c:v>271.68248916291395</c:v>
                </c:pt>
                <c:pt idx="60">
                  <c:v>275.030605577968</c:v>
                </c:pt>
                <c:pt idx="61">
                  <c:v>278.11006361255681</c:v>
                </c:pt>
                <c:pt idx="62">
                  <c:v>281.18875639212598</c:v>
                </c:pt>
                <c:pt idx="63">
                  <c:v>284.26669349521876</c:v>
                </c:pt>
                <c:pt idx="64">
                  <c:v>287.34388427560901</c:v>
                </c:pt>
                <c:pt idx="65">
                  <c:v>290.42033786998309</c:v>
                </c:pt>
                <c:pt idx="66">
                  <c:v>293.22863751617666</c:v>
                </c:pt>
                <c:pt idx="67">
                  <c:v>296.03633669968639</c:v>
                </c:pt>
                <c:pt idx="68">
                  <c:v>298.84344193087276</c:v>
                </c:pt>
                <c:pt idx="69">
                  <c:v>301.64995958756725</c:v>
                </c:pt>
                <c:pt idx="70">
                  <c:v>304.45589591900699</c:v>
                </c:pt>
                <c:pt idx="71">
                  <c:v>306.97184146318881</c:v>
                </c:pt>
                <c:pt idx="72">
                  <c:v>309.48732871195836</c:v>
                </c:pt>
                <c:pt idx="73">
                  <c:v>312.00236192356959</c:v>
                </c:pt>
                <c:pt idx="74">
                  <c:v>314.51694528188898</c:v>
                </c:pt>
                <c:pt idx="75">
                  <c:v>317.03108289829294</c:v>
                </c:pt>
                <c:pt idx="76">
                  <c:v>319.27785849736961</c:v>
                </c:pt>
                <c:pt idx="77">
                  <c:v>321.52428406625768</c:v>
                </c:pt>
                <c:pt idx="78">
                  <c:v>323.77036240061926</c:v>
                </c:pt>
                <c:pt idx="79">
                  <c:v>326.01609625408759</c:v>
                </c:pt>
                <c:pt idx="80">
                  <c:v>328.26148833919029</c:v>
                </c:pt>
                <c:pt idx="81">
                  <c:v>330.23982002340057</c:v>
                </c:pt>
                <c:pt idx="82">
                  <c:v>332.21789020579189</c:v>
                </c:pt>
                <c:pt idx="83">
                  <c:v>334.19570066624613</c:v>
                </c:pt>
                <c:pt idx="84">
                  <c:v>336.17325316181848</c:v>
                </c:pt>
                <c:pt idx="85">
                  <c:v>338.15054942716552</c:v>
                </c:pt>
                <c:pt idx="86">
                  <c:v>339.86103853173319</c:v>
                </c:pt>
                <c:pt idx="87">
                  <c:v>341.57133822210056</c:v>
                </c:pt>
                <c:pt idx="88">
                  <c:v>343.28144958244587</c:v>
                </c:pt>
                <c:pt idx="89">
                  <c:v>344.99137368524384</c:v>
                </c:pt>
                <c:pt idx="90">
                  <c:v>346.70111159144943</c:v>
                </c:pt>
                <c:pt idx="91">
                  <c:v>348.12205150612658</c:v>
                </c:pt>
                <c:pt idx="92">
                  <c:v>349.54286411058609</c:v>
                </c:pt>
                <c:pt idx="93">
                  <c:v>350.96354999639215</c:v>
                </c:pt>
                <c:pt idx="94">
                  <c:v>352.38410974991922</c:v>
                </c:pt>
                <c:pt idx="95">
                  <c:v>353.80454395241941</c:v>
                </c:pt>
                <c:pt idx="96">
                  <c:v>354.95855469311232</c:v>
                </c:pt>
                <c:pt idx="97">
                  <c:v>356.11248323760998</c:v>
                </c:pt>
                <c:pt idx="98">
                  <c:v>357.26632989038745</c:v>
                </c:pt>
                <c:pt idx="99">
                  <c:v>358.42009495378852</c:v>
                </c:pt>
                <c:pt idx="100">
                  <c:v>359.57377872804733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8151568"/>
        <c:axId val="1948152656"/>
      </c:scatterChart>
      <c:valAx>
        <c:axId val="19481515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48152656"/>
        <c:crosses val="autoZero"/>
        <c:crossBetween val="midCat"/>
      </c:valAx>
      <c:valAx>
        <c:axId val="1948152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481515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3.7940715050318166</c:v>
                </c:pt>
                <c:pt idx="2">
                  <c:v>4.9377274035395011</c:v>
                </c:pt>
                <c:pt idx="3">
                  <c:v>6.4274775055040303</c:v>
                </c:pt>
                <c:pt idx="4">
                  <c:v>8.3684435076636809</c:v>
                </c:pt>
                <c:pt idx="5">
                  <c:v>10.897785858680232</c:v>
                </c:pt>
                <c:pt idx="6">
                  <c:v>14.194499309147433</c:v>
                </c:pt>
                <c:pt idx="7">
                  <c:v>18.492212032390984</c:v>
                </c:pt>
                <c:pt idx="8">
                  <c:v>24.095911719327074</c:v>
                </c:pt>
                <c:pt idx="9">
                  <c:v>31.403806616304621</c:v>
                </c:pt>
                <c:pt idx="10">
                  <c:v>40.935901924486565</c:v>
                </c:pt>
                <c:pt idx="11">
                  <c:v>45.995824937849385</c:v>
                </c:pt>
                <c:pt idx="12">
                  <c:v>51.040864550780604</c:v>
                </c:pt>
                <c:pt idx="13">
                  <c:v>56.072704833394162</c:v>
                </c:pt>
                <c:pt idx="14">
                  <c:v>61.092701422671723</c:v>
                </c:pt>
                <c:pt idx="15">
                  <c:v>66.101967977769291</c:v>
                </c:pt>
                <c:pt idx="16">
                  <c:v>71.101434889641112</c:v>
                </c:pt>
                <c:pt idx="17">
                  <c:v>76.091890520314053</c:v>
                </c:pt>
                <c:pt idx="18">
                  <c:v>81.074011002076816</c:v>
                </c:pt>
                <c:pt idx="19">
                  <c:v>86.048382294364117</c:v>
                </c:pt>
                <c:pt idx="20">
                  <c:v>91.01551685143825</c:v>
                </c:pt>
                <c:pt idx="21">
                  <c:v>96.059293424495877</c:v>
                </c:pt>
                <c:pt idx="22">
                  <c:v>101.09647592120905</c:v>
                </c:pt>
                <c:pt idx="23">
                  <c:v>106.1274401371661</c:v>
                </c:pt>
                <c:pt idx="24">
                  <c:v>111.15252322541839</c:v>
                </c:pt>
                <c:pt idx="25">
                  <c:v>116.17202927831566</c:v>
                </c:pt>
                <c:pt idx="26">
                  <c:v>121.18623389119783</c:v>
                </c:pt>
                <c:pt idx="27">
                  <c:v>126.19538792903876</c:v>
                </c:pt>
                <c:pt idx="28">
                  <c:v>131.19972066206506</c:v>
                </c:pt>
                <c:pt idx="29">
                  <c:v>136.19944239663721</c:v>
                </c:pt>
                <c:pt idx="30">
                  <c:v>141.19474669860062</c:v>
                </c:pt>
                <c:pt idx="31">
                  <c:v>117.41844889935521</c:v>
                </c:pt>
                <c:pt idx="32">
                  <c:v>122.27181352878561</c:v>
                </c:pt>
                <c:pt idx="33">
                  <c:v>127.12049242384775</c:v>
                </c:pt>
                <c:pt idx="34">
                  <c:v>131.96468999042506</c:v>
                </c:pt>
                <c:pt idx="35">
                  <c:v>136.80459436256049</c:v>
                </c:pt>
                <c:pt idx="36">
                  <c:v>141.64037924106523</c:v>
                </c:pt>
                <c:pt idx="37">
                  <c:v>146.47220546726382</c:v>
                </c:pt>
                <c:pt idx="38">
                  <c:v>151.3002223777049</c:v>
                </c:pt>
                <c:pt idx="39">
                  <c:v>156.12456897649591</c:v>
                </c:pt>
                <c:pt idx="40">
                  <c:v>160.94537495481583</c:v>
                </c:pt>
                <c:pt idx="41">
                  <c:v>148.09833122562196</c:v>
                </c:pt>
                <c:pt idx="42">
                  <c:v>152.79144700218751</c:v>
                </c:pt>
                <c:pt idx="43">
                  <c:v>157.48113180902939</c:v>
                </c:pt>
                <c:pt idx="44">
                  <c:v>162.16750248508325</c:v>
                </c:pt>
                <c:pt idx="45">
                  <c:v>166.8506685486885</c:v>
                </c:pt>
                <c:pt idx="46">
                  <c:v>171.53073285365295</c:v>
                </c:pt>
                <c:pt idx="47">
                  <c:v>176.20779216981666</c:v>
                </c:pt>
                <c:pt idx="48">
                  <c:v>180.88193769862167</c:v>
                </c:pt>
                <c:pt idx="49">
                  <c:v>185.55325553249369</c:v>
                </c:pt>
                <c:pt idx="50">
                  <c:v>190.22182706545016</c:v>
                </c:pt>
                <c:pt idx="51">
                  <c:v>175.30550445846984</c:v>
                </c:pt>
                <c:pt idx="52">
                  <c:v>179.7316123866359</c:v>
                </c:pt>
                <c:pt idx="53">
                  <c:v>184.15516689410637</c:v>
                </c:pt>
                <c:pt idx="54">
                  <c:v>188.57623811572486</c:v>
                </c:pt>
                <c:pt idx="55">
                  <c:v>192.99489262176746</c:v>
                </c:pt>
                <c:pt idx="56">
                  <c:v>197.41119367847855</c:v>
                </c:pt>
                <c:pt idx="57">
                  <c:v>201.82520148402705</c:v>
                </c:pt>
                <c:pt idx="58">
                  <c:v>206.23697338270208</c:v>
                </c:pt>
                <c:pt idx="59">
                  <c:v>210.64656405978792</c:v>
                </c:pt>
                <c:pt idx="60">
                  <c:v>215.05402571923696</c:v>
                </c:pt>
                <c:pt idx="61">
                  <c:v>198.6939177176433</c:v>
                </c:pt>
                <c:pt idx="62">
                  <c:v>202.86456278492415</c:v>
                </c:pt>
                <c:pt idx="63">
                  <c:v>207.03322289239085</c:v>
                </c:pt>
                <c:pt idx="64">
                  <c:v>211.1999437388989</c:v>
                </c:pt>
                <c:pt idx="65">
                  <c:v>215.36476906896596</c:v>
                </c:pt>
                <c:pt idx="66">
                  <c:v>219.52774079341077</c:v>
                </c:pt>
                <c:pt idx="67">
                  <c:v>223.68889910034579</c:v>
                </c:pt>
                <c:pt idx="68">
                  <c:v>227.8482825574653</c:v>
                </c:pt>
                <c:pt idx="69">
                  <c:v>232.00592820645954</c:v>
                </c:pt>
                <c:pt idx="70">
                  <c:v>236.16187165029689</c:v>
                </c:pt>
                <c:pt idx="71">
                  <c:v>218.97692512402543</c:v>
                </c:pt>
                <c:pt idx="72">
                  <c:v>222.89820975716569</c:v>
                </c:pt>
                <c:pt idx="73">
                  <c:v>226.81791209882192</c:v>
                </c:pt>
                <c:pt idx="74">
                  <c:v>230.736063412498</c:v>
                </c:pt>
                <c:pt idx="75">
                  <c:v>234.65269381098105</c:v>
                </c:pt>
                <c:pt idx="76">
                  <c:v>238.56783231764553</c:v>
                </c:pt>
                <c:pt idx="77">
                  <c:v>242.48150692351541</c:v>
                </c:pt>
                <c:pt idx="78">
                  <c:v>246.39374464044309</c:v>
                </c:pt>
                <c:pt idx="79">
                  <c:v>250.30457155072909</c:v>
                </c:pt>
                <c:pt idx="80">
                  <c:v>254.21401285347324</c:v>
                </c:pt>
                <c:pt idx="81">
                  <c:v>235.31737948255306</c:v>
                </c:pt>
                <c:pt idx="82">
                  <c:v>239.14443638206026</c:v>
                </c:pt>
                <c:pt idx="83">
                  <c:v>242.97009820492926</c:v>
                </c:pt>
                <c:pt idx="84">
                  <c:v>246.79439006404766</c:v>
                </c:pt>
                <c:pt idx="85">
                  <c:v>250.61733622888337</c:v>
                </c:pt>
                <c:pt idx="86">
                  <c:v>254.43896016654585</c:v>
                </c:pt>
                <c:pt idx="87">
                  <c:v>258.25928458024669</c:v>
                </c:pt>
                <c:pt idx="88">
                  <c:v>262.07833144536136</c:v>
                </c:pt>
                <c:pt idx="89">
                  <c:v>265.89612204327688</c:v>
                </c:pt>
                <c:pt idx="90">
                  <c:v>269.7126769931898</c:v>
                </c:pt>
                <c:pt idx="91">
                  <c:v>250.6328193987205</c:v>
                </c:pt>
                <c:pt idx="92">
                  <c:v>254.24496917314158</c:v>
                </c:pt>
                <c:pt idx="93">
                  <c:v>257.85595699105755</c:v>
                </c:pt>
                <c:pt idx="94">
                  <c:v>261.46580145486388</c:v>
                </c:pt>
                <c:pt idx="95">
                  <c:v>265.07452061034036</c:v>
                </c:pt>
                <c:pt idx="96">
                  <c:v>268.68213197083338</c:v>
                </c:pt>
                <c:pt idx="97">
                  <c:v>272.2886525400715</c:v>
                </c:pt>
                <c:pt idx="98">
                  <c:v>275.89409883370479</c:v>
                </c:pt>
                <c:pt idx="99">
                  <c:v>279.49848689966035</c:v>
                </c:pt>
                <c:pt idx="100">
                  <c:v>283.10183233738871</c:v>
                </c:pt>
                <c:pt idx="101">
                  <c:v>263.96109196677475</c:v>
                </c:pt>
                <c:pt idx="102">
                  <c:v>267.38351841754837</c:v>
                </c:pt>
                <c:pt idx="103">
                  <c:v>270.80495793510266</c:v>
                </c:pt>
                <c:pt idx="104">
                  <c:v>274.2254247741065</c:v>
                </c:pt>
                <c:pt idx="105">
                  <c:v>277.64493280389814</c:v>
                </c:pt>
                <c:pt idx="106">
                  <c:v>281.06349552363093</c:v>
                </c:pt>
                <c:pt idx="107">
                  <c:v>284.48112607664098</c:v>
                </c:pt>
                <c:pt idx="108">
                  <c:v>287.89783726408837</c:v>
                </c:pt>
                <c:pt idx="109">
                  <c:v>291.31364155791516</c:v>
                </c:pt>
                <c:pt idx="110">
                  <c:v>294.72855111316346</c:v>
                </c:pt>
                <c:pt idx="111">
                  <c:v>275.64278221892977</c:v>
                </c:pt>
                <c:pt idx="112">
                  <c:v>278.89302299078042</c:v>
                </c:pt>
                <c:pt idx="113">
                  <c:v>282.14241391291085</c:v>
                </c:pt>
                <c:pt idx="114">
                  <c:v>285.39096617407273</c:v>
                </c:pt>
                <c:pt idx="115">
                  <c:v>288.63869068701268</c:v>
                </c:pt>
                <c:pt idx="116">
                  <c:v>291.88559809838341</c:v>
                </c:pt>
                <c:pt idx="117">
                  <c:v>295.13169879818764</c:v>
                </c:pt>
                <c:pt idx="118">
                  <c:v>298.37700292878753</c:v>
                </c:pt>
                <c:pt idx="119">
                  <c:v>301.6215203934978</c:v>
                </c:pt>
                <c:pt idx="120">
                  <c:v>304.86526086479199</c:v>
                </c:pt>
                <c:pt idx="121">
                  <c:v>286.03934198193417</c:v>
                </c:pt>
                <c:pt idx="122">
                  <c:v>289.1202225994499</c:v>
                </c:pt>
                <c:pt idx="123">
                  <c:v>292.20036925031758</c:v>
                </c:pt>
                <c:pt idx="124">
                  <c:v>295.2797907788534</c:v>
                </c:pt>
                <c:pt idx="125">
                  <c:v>298.35849582949118</c:v>
                </c:pt>
                <c:pt idx="126">
                  <c:v>301.43649285336335</c:v>
                </c:pt>
                <c:pt idx="127">
                  <c:v>304.51379011459977</c:v>
                </c:pt>
                <c:pt idx="128">
                  <c:v>307.59039569635775</c:v>
                </c:pt>
                <c:pt idx="129">
                  <c:v>310.66631750659769</c:v>
                </c:pt>
                <c:pt idx="130">
                  <c:v>313.74156328361835</c:v>
                </c:pt>
                <c:pt idx="131">
                  <c:v>295.19237557407541</c:v>
                </c:pt>
                <c:pt idx="132">
                  <c:v>298.12407035611278</c:v>
                </c:pt>
                <c:pt idx="133">
                  <c:v>301.0551225538257</c:v>
                </c:pt>
                <c:pt idx="134">
                  <c:v>303.98553931871487</c:v>
                </c:pt>
                <c:pt idx="135">
                  <c:v>306.91532765288451</c:v>
                </c:pt>
                <c:pt idx="136">
                  <c:v>309.84449441359243</c:v>
                </c:pt>
                <c:pt idx="137">
                  <c:v>312.77304631762058</c:v>
                </c:pt>
                <c:pt idx="138">
                  <c:v>315.70098994547101</c:v>
                </c:pt>
                <c:pt idx="139">
                  <c:v>318.62833174539895</c:v>
                </c:pt>
                <c:pt idx="140">
                  <c:v>321.55507803729012</c:v>
                </c:pt>
                <c:pt idx="141">
                  <c:v>303.29487711261339</c:v>
                </c:pt>
                <c:pt idx="142">
                  <c:v>306.09225482910631</c:v>
                </c:pt>
                <c:pt idx="143">
                  <c:v>308.88906420647976</c:v>
                </c:pt>
                <c:pt idx="144">
                  <c:v>311.68531112708018</c:v>
                </c:pt>
                <c:pt idx="145">
                  <c:v>314.4810013588949</c:v>
                </c:pt>
                <c:pt idx="146">
                  <c:v>317.2761405587965</c:v>
                </c:pt>
                <c:pt idx="147">
                  <c:v>320.07073427566644</c:v>
                </c:pt>
                <c:pt idx="148">
                  <c:v>322.86478795340321</c:v>
                </c:pt>
                <c:pt idx="149">
                  <c:v>325.65830693382185</c:v>
                </c:pt>
                <c:pt idx="150">
                  <c:v>328.45129645944729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8153200"/>
        <c:axId val="1948151024"/>
      </c:scatterChart>
      <c:valAx>
        <c:axId val="19481532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48151024"/>
        <c:crosses val="autoZero"/>
        <c:crossBetween val="midCat"/>
      </c:valAx>
      <c:valAx>
        <c:axId val="1948151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48153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3.2484554075943315</c:v>
                </c:pt>
                <c:pt idx="2">
                  <c:v>3.8638757267273136</c:v>
                </c:pt>
                <c:pt idx="3">
                  <c:v>4.5963145435189166</c:v>
                </c:pt>
                <c:pt idx="4">
                  <c:v>5.4680987872157631</c:v>
                </c:pt>
                <c:pt idx="5">
                  <c:v>6.5058290031172161</c:v>
                </c:pt>
                <c:pt idx="6">
                  <c:v>7.7411998035712202</c:v>
                </c:pt>
                <c:pt idx="7">
                  <c:v>9.2119782615885182</c:v>
                </c:pt>
                <c:pt idx="8">
                  <c:v>10.963170728579342</c:v>
                </c:pt>
                <c:pt idx="9">
                  <c:v>13.048414453858408</c:v>
                </c:pt>
                <c:pt idx="10">
                  <c:v>15.531637422590252</c:v>
                </c:pt>
                <c:pt idx="11">
                  <c:v>18.489038232705958</c:v>
                </c:pt>
                <c:pt idx="12">
                  <c:v>22.011447865139349</c:v>
                </c:pt>
                <c:pt idx="13">
                  <c:v>26.207147182217046</c:v>
                </c:pt>
                <c:pt idx="14">
                  <c:v>31.20522829454438</c:v>
                </c:pt>
                <c:pt idx="15">
                  <c:v>37.159605019264767</c:v>
                </c:pt>
                <c:pt idx="16">
                  <c:v>44.253798052153108</c:v>
                </c:pt>
                <c:pt idx="17">
                  <c:v>52.706644837830567</c:v>
                </c:pt>
                <c:pt idx="18">
                  <c:v>62.779113217342307</c:v>
                </c:pt>
                <c:pt idx="19">
                  <c:v>74.782432681513072</c:v>
                </c:pt>
                <c:pt idx="20">
                  <c:v>89.087798562494868</c:v>
                </c:pt>
                <c:pt idx="21">
                  <c:v>100.32542767775175</c:v>
                </c:pt>
                <c:pt idx="22">
                  <c:v>111.53183268113673</c:v>
                </c:pt>
                <c:pt idx="23">
                  <c:v>122.7105981665725</c:v>
                </c:pt>
                <c:pt idx="24">
                  <c:v>133.86460037263845</c:v>
                </c:pt>
                <c:pt idx="25">
                  <c:v>144.99619591483787</c:v>
                </c:pt>
                <c:pt idx="26">
                  <c:v>156.70740340376838</c:v>
                </c:pt>
                <c:pt idx="27">
                  <c:v>168.39783424765028</c:v>
                </c:pt>
                <c:pt idx="28">
                  <c:v>180.0691352498327</c:v>
                </c:pt>
                <c:pt idx="29">
                  <c:v>191.72272200880596</c:v>
                </c:pt>
                <c:pt idx="30">
                  <c:v>203.35982376966172</c:v>
                </c:pt>
                <c:pt idx="31">
                  <c:v>174.98390152642602</c:v>
                </c:pt>
                <c:pt idx="32">
                  <c:v>186.94382371193379</c:v>
                </c:pt>
                <c:pt idx="33">
                  <c:v>198.88589463565646</c:v>
                </c:pt>
                <c:pt idx="34">
                  <c:v>210.81133791618547</c:v>
                </c:pt>
                <c:pt idx="35">
                  <c:v>222.7212272896368</c:v>
                </c:pt>
                <c:pt idx="36">
                  <c:v>234.61651217665062</c:v>
                </c:pt>
                <c:pt idx="37">
                  <c:v>246.49803778536844</c:v>
                </c:pt>
                <c:pt idx="38">
                  <c:v>258.36656113069779</c:v>
                </c:pt>
                <c:pt idx="39">
                  <c:v>270.22276395280278</c:v>
                </c:pt>
                <c:pt idx="40">
                  <c:v>282.06726324755329</c:v>
                </c:pt>
                <c:pt idx="41">
                  <c:v>253.3239821040373</c:v>
                </c:pt>
                <c:pt idx="42">
                  <c:v>264.59256331767233</c:v>
                </c:pt>
                <c:pt idx="43">
                  <c:v>275.85032479337616</c:v>
                </c:pt>
                <c:pt idx="44">
                  <c:v>287.09777056320473</c:v>
                </c:pt>
                <c:pt idx="45">
                  <c:v>298.33536191938384</c:v>
                </c:pt>
                <c:pt idx="46">
                  <c:v>308.97279538901205</c:v>
                </c:pt>
                <c:pt idx="47">
                  <c:v>319.60209759635984</c:v>
                </c:pt>
                <c:pt idx="48">
                  <c:v>330.22357722631432</c:v>
                </c:pt>
                <c:pt idx="49">
                  <c:v>340.83752147546761</c:v>
                </c:pt>
                <c:pt idx="50">
                  <c:v>351.44419818495675</c:v>
                </c:pt>
                <c:pt idx="51">
                  <c:v>319.01178877773668</c:v>
                </c:pt>
                <c:pt idx="52">
                  <c:v>329.33874556124147</c:v>
                </c:pt>
                <c:pt idx="53">
                  <c:v>339.65855796885859</c:v>
                </c:pt>
                <c:pt idx="54">
                  <c:v>349.97147377456463</c:v>
                </c:pt>
                <c:pt idx="55">
                  <c:v>360.27772495074413</c:v>
                </c:pt>
                <c:pt idx="56">
                  <c:v>369.98913892074944</c:v>
                </c:pt>
                <c:pt idx="57">
                  <c:v>379.69499344441101</c:v>
                </c:pt>
                <c:pt idx="58">
                  <c:v>389.39545073608247</c:v>
                </c:pt>
                <c:pt idx="59">
                  <c:v>399.09066426502704</c:v>
                </c:pt>
                <c:pt idx="60">
                  <c:v>408.78077943245563</c:v>
                </c:pt>
                <c:pt idx="61">
                  <c:v>373.81331183081375</c:v>
                </c:pt>
                <c:pt idx="62">
                  <c:v>382.92907114888516</c:v>
                </c:pt>
                <c:pt idx="63">
                  <c:v>392.04011366405786</c:v>
                </c:pt>
                <c:pt idx="64">
                  <c:v>401.14656450777994</c:v>
                </c:pt>
                <c:pt idx="65">
                  <c:v>410.24854266397205</c:v>
                </c:pt>
                <c:pt idx="66">
                  <c:v>419.05275675775698</c:v>
                </c:pt>
                <c:pt idx="67">
                  <c:v>427.85298608969606</c:v>
                </c:pt>
                <c:pt idx="68">
                  <c:v>436.64932421357253</c:v>
                </c:pt>
                <c:pt idx="69">
                  <c:v>445.44186060478069</c:v>
                </c:pt>
                <c:pt idx="70">
                  <c:v>454.23068091685923</c:v>
                </c:pt>
                <c:pt idx="71">
                  <c:v>419.63956162606559</c:v>
                </c:pt>
                <c:pt idx="72">
                  <c:v>427.55970831139103</c:v>
                </c:pt>
                <c:pt idx="73">
                  <c:v>435.4767006990491</c:v>
                </c:pt>
                <c:pt idx="74">
                  <c:v>443.39060425253047</c:v>
                </c:pt>
                <c:pt idx="75">
                  <c:v>451.30148190662823</c:v>
                </c:pt>
                <c:pt idx="76">
                  <c:v>458.91656076120006</c:v>
                </c:pt>
                <c:pt idx="77">
                  <c:v>466.52894195081808</c:v>
                </c:pt>
                <c:pt idx="78">
                  <c:v>474.13867572260983</c:v>
                </c:pt>
                <c:pt idx="79">
                  <c:v>481.74581057850463</c:v>
                </c:pt>
                <c:pt idx="80">
                  <c:v>489.35039336305164</c:v>
                </c:pt>
                <c:pt idx="81">
                  <c:v>455.69512882957935</c:v>
                </c:pt>
                <c:pt idx="82">
                  <c:v>463.01586721713073</c:v>
                </c:pt>
                <c:pt idx="83">
                  <c:v>470.33413669272704</c:v>
                </c:pt>
                <c:pt idx="84">
                  <c:v>477.64998110947209</c:v>
                </c:pt>
                <c:pt idx="85">
                  <c:v>484.96344286690504</c:v>
                </c:pt>
                <c:pt idx="86">
                  <c:v>491.68975860111124</c:v>
                </c:pt>
                <c:pt idx="87">
                  <c:v>498.41412333379748</c:v>
                </c:pt>
                <c:pt idx="88">
                  <c:v>505.13656711251906</c:v>
                </c:pt>
                <c:pt idx="89">
                  <c:v>511.85711911946265</c:v>
                </c:pt>
                <c:pt idx="90">
                  <c:v>518.57580770765355</c:v>
                </c:pt>
                <c:pt idx="91">
                  <c:v>487.30325414786125</c:v>
                </c:pt>
                <c:pt idx="92">
                  <c:v>494.02888780918585</c:v>
                </c:pt>
                <c:pt idx="93">
                  <c:v>500.75258102081324</c:v>
                </c:pt>
                <c:pt idx="94">
                  <c:v>507.47436352506497</c:v>
                </c:pt>
                <c:pt idx="95">
                  <c:v>514.19426421172068</c:v>
                </c:pt>
                <c:pt idx="96">
                  <c:v>520.3282060516276</c:v>
                </c:pt>
                <c:pt idx="97">
                  <c:v>526.46062332551276</c:v>
                </c:pt>
                <c:pt idx="98">
                  <c:v>532.59153630548462</c:v>
                </c:pt>
                <c:pt idx="99">
                  <c:v>538.72096475864475</c:v>
                </c:pt>
                <c:pt idx="100">
                  <c:v>544.8489279653985</c:v>
                </c:pt>
                <c:pt idx="101">
                  <c:v>513.90213336355043</c:v>
                </c:pt>
                <c:pt idx="102">
                  <c:v>519.45202246598103</c:v>
                </c:pt>
                <c:pt idx="103">
                  <c:v>525.00066116885989</c:v>
                </c:pt>
                <c:pt idx="104">
                  <c:v>530.54806455888422</c:v>
                </c:pt>
                <c:pt idx="105">
                  <c:v>536.09424738135738</c:v>
                </c:pt>
                <c:pt idx="106">
                  <c:v>541.63922405144251</c:v>
                </c:pt>
                <c:pt idx="107">
                  <c:v>547.18300866493462</c:v>
                </c:pt>
                <c:pt idx="108">
                  <c:v>552.72561500857068</c:v>
                </c:pt>
                <c:pt idx="109">
                  <c:v>558.26705656990612</c:v>
                </c:pt>
                <c:pt idx="110">
                  <c:v>563.80734654677724</c:v>
                </c:pt>
                <c:pt idx="111">
                  <c:v>569.34649785637419</c:v>
                </c:pt>
                <c:pt idx="112">
                  <c:v>574.88452314394056</c:v>
                </c:pt>
                <c:pt idx="113">
                  <c:v>580.42143479112144</c:v>
                </c:pt>
                <c:pt idx="114">
                  <c:v>585.95724492397483</c:v>
                </c:pt>
                <c:pt idx="115">
                  <c:v>591.4919654206675</c:v>
                </c:pt>
                <c:pt idx="116">
                  <c:v>548.25272578077613</c:v>
                </c:pt>
                <c:pt idx="117">
                  <c:v>553.11452594690388</c:v>
                </c:pt>
                <c:pt idx="118">
                  <c:v>557.97543057498933</c:v>
                </c:pt>
                <c:pt idx="119">
                  <c:v>562.83544857133199</c:v>
                </c:pt>
                <c:pt idx="120">
                  <c:v>567.6945886757976</c:v>
                </c:pt>
                <c:pt idx="121">
                  <c:v>572.55285946635706</c:v>
                </c:pt>
                <c:pt idx="122">
                  <c:v>577.41026936346509</c:v>
                </c:pt>
                <c:pt idx="123">
                  <c:v>582.26682663428221</c:v>
                </c:pt>
                <c:pt idx="124">
                  <c:v>587.12253939674872</c:v>
                </c:pt>
                <c:pt idx="125">
                  <c:v>591.97741562351814</c:v>
                </c:pt>
                <c:pt idx="126">
                  <c:v>596.83146314575333</c:v>
                </c:pt>
                <c:pt idx="127">
                  <c:v>601.68468965679278</c:v>
                </c:pt>
                <c:pt idx="128">
                  <c:v>606.53710271569446</c:v>
                </c:pt>
                <c:pt idx="129">
                  <c:v>611.38870975065743</c:v>
                </c:pt>
                <c:pt idx="130">
                  <c:v>616.23951806233038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50996512"/>
        <c:axId val="1950997056"/>
      </c:scatterChart>
      <c:valAx>
        <c:axId val="19509965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50997056"/>
        <c:crosses val="autoZero"/>
        <c:crossBetween val="midCat"/>
      </c:valAx>
      <c:valAx>
        <c:axId val="1950997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509965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2.5722677930534954</c:v>
                </c:pt>
                <c:pt idx="2">
                  <c:v>2.9621842966335081</c:v>
                </c:pt>
                <c:pt idx="3">
                  <c:v>3.4114188821959091</c:v>
                </c:pt>
                <c:pt idx="4">
                  <c:v>3.9290262090163979</c:v>
                </c:pt>
                <c:pt idx="5">
                  <c:v>4.5254474752842002</c:v>
                </c:pt>
                <c:pt idx="6">
                  <c:v>5.2127233645153082</c:v>
                </c:pt>
                <c:pt idx="7">
                  <c:v>6.0047397856420881</c:v>
                </c:pt>
                <c:pt idx="8">
                  <c:v>6.9175114696400923</c:v>
                </c:pt>
                <c:pt idx="9">
                  <c:v>7.9695092689740825</c:v>
                </c:pt>
                <c:pt idx="10">
                  <c:v>9.182037911044862</c:v>
                </c:pt>
                <c:pt idx="11">
                  <c:v>10.579672002068646</c:v>
                </c:pt>
                <c:pt idx="12">
                  <c:v>12.190759285230749</c:v>
                </c:pt>
                <c:pt idx="13">
                  <c:v>14.048001551728753</c:v>
                </c:pt>
                <c:pt idx="14">
                  <c:v>16.189125214584752</c:v>
                </c:pt>
                <c:pt idx="15">
                  <c:v>18.657655416524996</c:v>
                </c:pt>
                <c:pt idx="16">
                  <c:v>37.727903052748182</c:v>
                </c:pt>
                <c:pt idx="17">
                  <c:v>56.524479039485897</c:v>
                </c:pt>
                <c:pt idx="18">
                  <c:v>75.154841693095705</c:v>
                </c:pt>
                <c:pt idx="19">
                  <c:v>93.666644730165203</c:v>
                </c:pt>
                <c:pt idx="20">
                  <c:v>112.08679847851981</c:v>
                </c:pt>
                <c:pt idx="21">
                  <c:v>131.19552875292825</c:v>
                </c:pt>
                <c:pt idx="22">
                  <c:v>150.23693675874819</c:v>
                </c:pt>
                <c:pt idx="23">
                  <c:v>169.22076873606747</c:v>
                </c:pt>
                <c:pt idx="24">
                  <c:v>188.15439824972211</c:v>
                </c:pt>
                <c:pt idx="25">
                  <c:v>207.04359025710687</c:v>
                </c:pt>
                <c:pt idx="26">
                  <c:v>146.05306344957884</c:v>
                </c:pt>
                <c:pt idx="27">
                  <c:v>164.6694744129513</c:v>
                </c:pt>
                <c:pt idx="28">
                  <c:v>183.23613938898782</c:v>
                </c:pt>
                <c:pt idx="29">
                  <c:v>201.75881092692782</c:v>
                </c:pt>
                <c:pt idx="30">
                  <c:v>220.24209728386407</c:v>
                </c:pt>
                <c:pt idx="31">
                  <c:v>236.43267338641553</c:v>
                </c:pt>
                <c:pt idx="32">
                  <c:v>252.59797413681909</c:v>
                </c:pt>
                <c:pt idx="33">
                  <c:v>268.73984484198553</c:v>
                </c:pt>
                <c:pt idx="34">
                  <c:v>284.85989094555777</c:v>
                </c:pt>
                <c:pt idx="35">
                  <c:v>300.95952130477968</c:v>
                </c:pt>
                <c:pt idx="36">
                  <c:v>236.43267338641553</c:v>
                </c:pt>
                <c:pt idx="37">
                  <c:v>250.71952474895636</c:v>
                </c:pt>
                <c:pt idx="38">
                  <c:v>264.98792439409277</c:v>
                </c:pt>
                <c:pt idx="39">
                  <c:v>279.23900597474045</c:v>
                </c:pt>
                <c:pt idx="40">
                  <c:v>293.47377793906486</c:v>
                </c:pt>
                <c:pt idx="41">
                  <c:v>305.82302433005208</c:v>
                </c:pt>
                <c:pt idx="42">
                  <c:v>318.16118821698814</c:v>
                </c:pt>
                <c:pt idx="43">
                  <c:v>330.48876005573726</c:v>
                </c:pt>
                <c:pt idx="44">
                  <c:v>342.80619071488059</c:v>
                </c:pt>
                <c:pt idx="45">
                  <c:v>355.11389600890431</c:v>
                </c:pt>
                <c:pt idx="46">
                  <c:v>292.35055150938035</c:v>
                </c:pt>
                <c:pt idx="47">
                  <c:v>302.45616879398875</c:v>
                </c:pt>
                <c:pt idx="48">
                  <c:v>312.55427347160997</c:v>
                </c:pt>
                <c:pt idx="49">
                  <c:v>322.6451426246872</c:v>
                </c:pt>
                <c:pt idx="50">
                  <c:v>332.72903457884451</c:v>
                </c:pt>
                <c:pt idx="51">
                  <c:v>341.68683217968459</c:v>
                </c:pt>
                <c:pt idx="52">
                  <c:v>350.63946715468188</c:v>
                </c:pt>
                <c:pt idx="53">
                  <c:v>359.58708999068585</c:v>
                </c:pt>
                <c:pt idx="54">
                  <c:v>368.52984306951663</c:v>
                </c:pt>
                <c:pt idx="55">
                  <c:v>377.46786129486031</c:v>
                </c:pt>
                <c:pt idx="56">
                  <c:v>340.56739298972934</c:v>
                </c:pt>
                <c:pt idx="57">
                  <c:v>348.40178403373949</c:v>
                </c:pt>
                <c:pt idx="58">
                  <c:v>356.23230957994457</c:v>
                </c:pt>
                <c:pt idx="59">
                  <c:v>364.05906664989806</c:v>
                </c:pt>
                <c:pt idx="60">
                  <c:v>371.88214774985937</c:v>
                </c:pt>
                <c:pt idx="61">
                  <c:v>377.84017788163402</c:v>
                </c:pt>
                <c:pt idx="62">
                  <c:v>383.79616295666898</c:v>
                </c:pt>
                <c:pt idx="63">
                  <c:v>389.75013922020366</c:v>
                </c:pt>
                <c:pt idx="64">
                  <c:v>395.70214171866616</c:v>
                </c:pt>
                <c:pt idx="65">
                  <c:v>401.65220435716355</c:v>
                </c:pt>
                <c:pt idx="66">
                  <c:v>375.60615822359949</c:v>
                </c:pt>
                <c:pt idx="67">
                  <c:v>381.19066877305676</c:v>
                </c:pt>
                <c:pt idx="68">
                  <c:v>386.7733999720669</c:v>
                </c:pt>
                <c:pt idx="69">
                  <c:v>392.35438115419703</c:v>
                </c:pt>
                <c:pt idx="70">
                  <c:v>397.93364074958481</c:v>
                </c:pt>
                <c:pt idx="71">
                  <c:v>402.76762782233112</c:v>
                </c:pt>
                <c:pt idx="72">
                  <c:v>407.60035995338347</c:v>
                </c:pt>
                <c:pt idx="73">
                  <c:v>412.4318541373803</c:v>
                </c:pt>
                <c:pt idx="74">
                  <c:v>417.26212693788665</c:v>
                </c:pt>
                <c:pt idx="75">
                  <c:v>422.091194503304</c:v>
                </c:pt>
                <c:pt idx="76">
                  <c:v>426.54773922354394</c:v>
                </c:pt>
                <c:pt idx="77">
                  <c:v>431.00328251520631</c:v>
                </c:pt>
                <c:pt idx="78">
                  <c:v>435.45783620208459</c:v>
                </c:pt>
                <c:pt idx="79">
                  <c:v>439.91141184608779</c:v>
                </c:pt>
                <c:pt idx="80">
                  <c:v>444.36402075569316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50998144"/>
        <c:axId val="1950997600"/>
      </c:scatterChart>
      <c:valAx>
        <c:axId val="19509981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50997600"/>
        <c:crosses val="autoZero"/>
        <c:crossBetween val="midCat"/>
      </c:valAx>
      <c:valAx>
        <c:axId val="1950997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509981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3.1576414327245192</c:v>
                </c:pt>
                <c:pt idx="2">
                  <c:v>3.7557997112480344</c:v>
                </c:pt>
                <c:pt idx="3">
                  <c:v>4.4676839367713423</c:v>
                </c:pt>
                <c:pt idx="4">
                  <c:v>5.3149909897624239</c:v>
                </c:pt>
                <c:pt idx="5">
                  <c:v>6.3235704417866758</c:v>
                </c:pt>
                <c:pt idx="6">
                  <c:v>7.5242217332785373</c:v>
                </c:pt>
                <c:pt idx="7">
                  <c:v>8.9536448034116152</c:v>
                </c:pt>
                <c:pt idx="8">
                  <c:v>10.655573785131358</c:v>
                </c:pt>
                <c:pt idx="9">
                  <c:v>12.682129106252026</c:v>
                </c:pt>
                <c:pt idx="10">
                  <c:v>15.095430175562756</c:v>
                </c:pt>
                <c:pt idx="11">
                  <c:v>17.969518996727786</c:v>
                </c:pt>
                <c:pt idx="12">
                  <c:v>21.3926547999347</c:v>
                </c:pt>
                <c:pt idx="13">
                  <c:v>25.470051419378432</c:v>
                </c:pt>
                <c:pt idx="14">
                  <c:v>30.327143041278173</c:v>
                </c:pt>
                <c:pt idx="15">
                  <c:v>36.113480541259463</c:v>
                </c:pt>
                <c:pt idx="16">
                  <c:v>43.007380446132458</c:v>
                </c:pt>
                <c:pt idx="17">
                  <c:v>51.221472220053933</c:v>
                </c:pt>
                <c:pt idx="18">
                  <c:v>61.009317837551897</c:v>
                </c:pt>
                <c:pt idx="19">
                  <c:v>72.673311360581707</c:v>
                </c:pt>
                <c:pt idx="20">
                  <c:v>86.574106552703938</c:v>
                </c:pt>
                <c:pt idx="21">
                  <c:v>97.493815618109565</c:v>
                </c:pt>
                <c:pt idx="22">
                  <c:v>108.3831016347627</c:v>
                </c:pt>
                <c:pt idx="23">
                  <c:v>119.24545723284972</c:v>
                </c:pt>
                <c:pt idx="24">
                  <c:v>130.08368486026362</c:v>
                </c:pt>
                <c:pt idx="25">
                  <c:v>140.90008067289321</c:v>
                </c:pt>
                <c:pt idx="26">
                  <c:v>152.27961748590789</c:v>
                </c:pt>
                <c:pt idx="27">
                  <c:v>163.63891068437815</c:v>
                </c:pt>
                <c:pt idx="28">
                  <c:v>174.97956482246332</c:v>
                </c:pt>
                <c:pt idx="29">
                  <c:v>186.30295918108774</c:v>
                </c:pt>
                <c:pt idx="30">
                  <c:v>197.61029146872451</c:v>
                </c:pt>
                <c:pt idx="31">
                  <c:v>170.03840132928266</c:v>
                </c:pt>
                <c:pt idx="32">
                  <c:v>181.65947157363232</c:v>
                </c:pt>
                <c:pt idx="33">
                  <c:v>193.26314853519432</c:v>
                </c:pt>
                <c:pt idx="34">
                  <c:v>204.85062444029083</c:v>
                </c:pt>
                <c:pt idx="35">
                  <c:v>216.42294547804465</c:v>
                </c:pt>
                <c:pt idx="36">
                  <c:v>227.98103671144975</c:v>
                </c:pt>
                <c:pt idx="37">
                  <c:v>239.52572166460229</c:v>
                </c:pt>
                <c:pt idx="38">
                  <c:v>251.05773793098513</c:v>
                </c:pt>
                <c:pt idx="39">
                  <c:v>262.57774976053264</c:v>
                </c:pt>
                <c:pt idx="40">
                  <c:v>274.08635831991677</c:v>
                </c:pt>
                <c:pt idx="41">
                  <c:v>246.15813481665387</c:v>
                </c:pt>
                <c:pt idx="42">
                  <c:v>257.10720147413707</c:v>
                </c:pt>
                <c:pt idx="43">
                  <c:v>268.04572597702139</c:v>
                </c:pt>
                <c:pt idx="44">
                  <c:v>278.97419942628261</c:v>
                </c:pt>
                <c:pt idx="45">
                  <c:v>289.89307127956818</c:v>
                </c:pt>
                <c:pt idx="46">
                  <c:v>300.2287833043473</c:v>
                </c:pt>
                <c:pt idx="47">
                  <c:v>310.55657267660109</c:v>
                </c:pt>
                <c:pt idx="48">
                  <c:v>320.8767401618216</c:v>
                </c:pt>
                <c:pt idx="49">
                  <c:v>331.18956558849356</c:v>
                </c:pt>
                <c:pt idx="50">
                  <c:v>341.49530992621681</c:v>
                </c:pt>
                <c:pt idx="51">
                  <c:v>309.98300923549442</c:v>
                </c:pt>
                <c:pt idx="52">
                  <c:v>320.01701036010542</c:v>
                </c:pt>
                <c:pt idx="53">
                  <c:v>330.04405039974381</c:v>
                </c:pt>
                <c:pt idx="54">
                  <c:v>340.06437077167715</c:v>
                </c:pt>
                <c:pt idx="55">
                  <c:v>350.07819749697484</c:v>
                </c:pt>
                <c:pt idx="56">
                  <c:v>359.51404857063443</c:v>
                </c:pt>
                <c:pt idx="57">
                  <c:v>368.94448282706475</c:v>
                </c:pt>
                <c:pt idx="58">
                  <c:v>378.369658318966</c:v>
                </c:pt>
                <c:pt idx="59">
                  <c:v>387.7897245783056</c:v>
                </c:pt>
                <c:pt idx="60">
                  <c:v>397.20482327598666</c:v>
                </c:pt>
                <c:pt idx="61">
                  <c:v>363.22970579716235</c:v>
                </c:pt>
                <c:pt idx="62">
                  <c:v>372.08678474521804</c:v>
                </c:pt>
                <c:pt idx="63">
                  <c:v>380.93926790124192</c:v>
                </c:pt>
                <c:pt idx="64">
                  <c:v>389.78727718640067</c:v>
                </c:pt>
                <c:pt idx="65">
                  <c:v>398.63092853204972</c:v>
                </c:pt>
                <c:pt idx="66">
                  <c:v>407.18525545541297</c:v>
                </c:pt>
                <c:pt idx="67">
                  <c:v>415.73569984708359</c:v>
                </c:pt>
                <c:pt idx="68">
                  <c:v>424.28235286069776</c:v>
                </c:pt>
                <c:pt idx="69">
                  <c:v>432.82530167613362</c:v>
                </c:pt>
                <c:pt idx="70">
                  <c:v>441.36462974946488</c:v>
                </c:pt>
                <c:pt idx="71">
                  <c:v>407.75540484100753</c:v>
                </c:pt>
                <c:pt idx="72">
                  <c:v>415.45074661205581</c:v>
                </c:pt>
                <c:pt idx="73">
                  <c:v>423.14301500980469</c:v>
                </c:pt>
                <c:pt idx="74">
                  <c:v>430.83227381826168</c:v>
                </c:pt>
                <c:pt idx="75">
                  <c:v>438.51858435761028</c:v>
                </c:pt>
                <c:pt idx="76">
                  <c:v>445.91748531819809</c:v>
                </c:pt>
                <c:pt idx="77">
                  <c:v>453.31375782316337</c:v>
                </c:pt>
                <c:pt idx="78">
                  <c:v>460.70745083052981</c:v>
                </c:pt>
                <c:pt idx="79">
                  <c:v>468.09861159789665</c:v>
                </c:pt>
                <c:pt idx="80">
                  <c:v>475.48728576800335</c:v>
                </c:pt>
                <c:pt idx="81">
                  <c:v>442.78750474214127</c:v>
                </c:pt>
                <c:pt idx="82">
                  <c:v>449.90041704255503</c:v>
                </c:pt>
                <c:pt idx="83">
                  <c:v>457.01092377162405</c:v>
                </c:pt>
                <c:pt idx="84">
                  <c:v>464.11906765738928</c:v>
                </c:pt>
                <c:pt idx="85">
                  <c:v>471.22489001161802</c:v>
                </c:pt>
                <c:pt idx="86">
                  <c:v>477.76023057775632</c:v>
                </c:pt>
                <c:pt idx="87">
                  <c:v>484.2936701958518</c:v>
                </c:pt>
                <c:pt idx="88">
                  <c:v>490.82523814258121</c:v>
                </c:pt>
                <c:pt idx="89">
                  <c:v>497.35496285145433</c:v>
                </c:pt>
                <c:pt idx="90">
                  <c:v>503.8828719480918</c:v>
                </c:pt>
                <c:pt idx="91">
                  <c:v>473.49826942091528</c:v>
                </c:pt>
                <c:pt idx="92">
                  <c:v>480.0329454129382</c:v>
                </c:pt>
                <c:pt idx="93">
                  <c:v>486.56573073803094</c:v>
                </c:pt>
                <c:pt idx="94">
                  <c:v>493.09665437546772</c:v>
                </c:pt>
                <c:pt idx="95">
                  <c:v>499.62574447385276</c:v>
                </c:pt>
                <c:pt idx="96">
                  <c:v>505.58550950328885</c:v>
                </c:pt>
                <c:pt idx="97">
                  <c:v>511.5437890798608</c:v>
                </c:pt>
                <c:pt idx="98">
                  <c:v>517.50060295559058</c:v>
                </c:pt>
                <c:pt idx="99">
                  <c:v>523.45597039044981</c:v>
                </c:pt>
                <c:pt idx="100">
                  <c:v>529.40991017019951</c:v>
                </c:pt>
                <c:pt idx="101">
                  <c:v>499.34190874415384</c:v>
                </c:pt>
                <c:pt idx="102">
                  <c:v>504.73420591215904</c:v>
                </c:pt>
                <c:pt idx="103">
                  <c:v>510.12528475995447</c:v>
                </c:pt>
                <c:pt idx="104">
                  <c:v>515.51515998718435</c:v>
                </c:pt>
                <c:pt idx="105">
                  <c:v>520.90384596085676</c:v>
                </c:pt>
                <c:pt idx="106">
                  <c:v>526.29135672631037</c:v>
                </c:pt>
                <c:pt idx="107">
                  <c:v>531.67770601770837</c:v>
                </c:pt>
                <c:pt idx="108">
                  <c:v>537.06290726808527</c:v>
                </c:pt>
                <c:pt idx="109">
                  <c:v>542.44697361896976</c:v>
                </c:pt>
                <c:pt idx="110">
                  <c:v>547.82991792960388</c:v>
                </c:pt>
                <c:pt idx="111">
                  <c:v>553.2117527857838</c:v>
                </c:pt>
                <c:pt idx="112">
                  <c:v>558.59249050833591</c:v>
                </c:pt>
                <c:pt idx="113">
                  <c:v>563.97214316125064</c:v>
                </c:pt>
                <c:pt idx="114">
                  <c:v>569.35072255948921</c:v>
                </c:pt>
                <c:pt idx="115">
                  <c:v>574.72824027648028</c:v>
                </c:pt>
                <c:pt idx="116">
                  <c:v>532.71704436894174</c:v>
                </c:pt>
                <c:pt idx="117">
                  <c:v>537.4407733610434</c:v>
                </c:pt>
                <c:pt idx="118">
                  <c:v>542.16362979037581</c:v>
                </c:pt>
                <c:pt idx="119">
                  <c:v>546.88562233474534</c:v>
                </c:pt>
                <c:pt idx="120">
                  <c:v>551.60675950979328</c:v>
                </c:pt>
                <c:pt idx="121">
                  <c:v>556.32704967342102</c:v>
                </c:pt>
                <c:pt idx="122">
                  <c:v>561.04650103005395</c:v>
                </c:pt>
                <c:pt idx="123">
                  <c:v>565.76512163475638</c:v>
                </c:pt>
                <c:pt idx="124">
                  <c:v>570.48291939720082</c:v>
                </c:pt>
                <c:pt idx="125">
                  <c:v>575.19990208549996</c:v>
                </c:pt>
                <c:pt idx="126">
                  <c:v>579.91607732990553</c:v>
                </c:pt>
                <c:pt idx="127">
                  <c:v>584.63145262638261</c:v>
                </c:pt>
                <c:pt idx="128">
                  <c:v>589.34603534005839</c:v>
                </c:pt>
                <c:pt idx="129">
                  <c:v>594.05983270855927</c:v>
                </c:pt>
                <c:pt idx="130">
                  <c:v>598.77285184523487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50995968"/>
        <c:axId val="1950999232"/>
      </c:scatterChart>
      <c:valAx>
        <c:axId val="19509959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50999232"/>
        <c:crosses val="autoZero"/>
        <c:crossBetween val="midCat"/>
      </c:valAx>
      <c:valAx>
        <c:axId val="195099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509959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1.4217567752663396</c:v>
                </c:pt>
                <c:pt idx="2">
                  <c:v>1.6496387760333995</c:v>
                </c:pt>
                <c:pt idx="3">
                  <c:v>1.9141825094116696</c:v>
                </c:pt>
                <c:pt idx="4">
                  <c:v>2.2213069404908978</c:v>
                </c:pt>
                <c:pt idx="5">
                  <c:v>2.5778898048880068</c:v>
                </c:pt>
                <c:pt idx="6">
                  <c:v>2.9919233927322302</c:v>
                </c:pt>
                <c:pt idx="7">
                  <c:v>3.472695717358198</c:v>
                </c:pt>
                <c:pt idx="8">
                  <c:v>4.0310012160061346</c:v>
                </c:pt>
                <c:pt idx="9">
                  <c:v>4.6793858090430804</c:v>
                </c:pt>
                <c:pt idx="10">
                  <c:v>5.432431934915944</c:v>
                </c:pt>
                <c:pt idx="11">
                  <c:v>6.3070900985608995</c:v>
                </c:pt>
                <c:pt idx="12">
                  <c:v>7.3230645426796004</c:v>
                </c:pt>
                <c:pt idx="13">
                  <c:v>8.5032618990257713</c:v>
                </c:pt>
                <c:pt idx="14">
                  <c:v>9.8743131296009761</c:v>
                </c:pt>
                <c:pt idx="15">
                  <c:v>11.467180759188034</c:v>
                </c:pt>
                <c:pt idx="16">
                  <c:v>13.31786537027314</c:v>
                </c:pt>
                <c:pt idx="17">
                  <c:v>15.468227624926827</c:v>
                </c:pt>
                <c:pt idx="18">
                  <c:v>17.96694474899018</c:v>
                </c:pt>
                <c:pt idx="19">
                  <c:v>20.870623524111782</c:v>
                </c:pt>
                <c:pt idx="20">
                  <c:v>24.245095455229389</c:v>
                </c:pt>
                <c:pt idx="21">
                  <c:v>28.166923999370677</c:v>
                </c:pt>
                <c:pt idx="22">
                  <c:v>32.725158654475884</c:v>
                </c:pt>
                <c:pt idx="23">
                  <c:v>38.023376428874322</c:v>
                </c:pt>
                <c:pt idx="24">
                  <c:v>44.182057876552157</c:v>
                </c:pt>
                <c:pt idx="25">
                  <c:v>51.341352645956526</c:v>
                </c:pt>
                <c:pt idx="26">
                  <c:v>59.664298532021071</c:v>
                </c:pt>
                <c:pt idx="27">
                  <c:v>69.340568553547996</c:v>
                </c:pt>
                <c:pt idx="28">
                  <c:v>80.590832847134777</c:v>
                </c:pt>
                <c:pt idx="29">
                  <c:v>93.671836461268967</c:v>
                </c:pt>
                <c:pt idx="30">
                  <c:v>108.88231078423301</c:v>
                </c:pt>
                <c:pt idx="31">
                  <c:v>118.03208120289025</c:v>
                </c:pt>
                <c:pt idx="32">
                  <c:v>127.16454093707324</c:v>
                </c:pt>
                <c:pt idx="33">
                  <c:v>136.28111027557466</c:v>
                </c:pt>
                <c:pt idx="34">
                  <c:v>145.38300356865543</c:v>
                </c:pt>
                <c:pt idx="35">
                  <c:v>154.47127040505103</c:v>
                </c:pt>
                <c:pt idx="36">
                  <c:v>164.62257075242445</c:v>
                </c:pt>
                <c:pt idx="37">
                  <c:v>174.75908346315285</c:v>
                </c:pt>
                <c:pt idx="38">
                  <c:v>184.88178804027584</c:v>
                </c:pt>
                <c:pt idx="39">
                  <c:v>194.99154782254652</c:v>
                </c:pt>
                <c:pt idx="40">
                  <c:v>205.08912920241869</c:v>
                </c:pt>
                <c:pt idx="41">
                  <c:v>216.07167176294379</c:v>
                </c:pt>
                <c:pt idx="42">
                  <c:v>227.04137501930674</c:v>
                </c:pt>
                <c:pt idx="43">
                  <c:v>237.99894718169116</c:v>
                </c:pt>
                <c:pt idx="44">
                  <c:v>248.9450258663492</c:v>
                </c:pt>
                <c:pt idx="45">
                  <c:v>259.88018799430489</c:v>
                </c:pt>
                <c:pt idx="46">
                  <c:v>271.55455561199773</c:v>
                </c:pt>
                <c:pt idx="47">
                  <c:v>283.21763703149043</c:v>
                </c:pt>
                <c:pt idx="48">
                  <c:v>294.86996273477894</c:v>
                </c:pt>
                <c:pt idx="49">
                  <c:v>306.51201783346147</c:v>
                </c:pt>
                <c:pt idx="50">
                  <c:v>318.14424756196712</c:v>
                </c:pt>
                <c:pt idx="51">
                  <c:v>329.76706192494237</c:v>
                </c:pt>
                <c:pt idx="52">
                  <c:v>239.67683700392948</c:v>
                </c:pt>
                <c:pt idx="53">
                  <c:v>250.29218464838678</c:v>
                </c:pt>
                <c:pt idx="54">
                  <c:v>260.8973260680587</c:v>
                </c:pt>
                <c:pt idx="55">
                  <c:v>271.49273488667239</c:v>
                </c:pt>
                <c:pt idx="56">
                  <c:v>282.07884471495868</c:v>
                </c:pt>
                <c:pt idx="57">
                  <c:v>292.65605393833511</c:v>
                </c:pt>
                <c:pt idx="58">
                  <c:v>303.66796237794057</c:v>
                </c:pt>
                <c:pt idx="59">
                  <c:v>314.67098963455902</c:v>
                </c:pt>
                <c:pt idx="60">
                  <c:v>325.66549017002541</c:v>
                </c:pt>
                <c:pt idx="61">
                  <c:v>336.65179254781509</c:v>
                </c:pt>
                <c:pt idx="62">
                  <c:v>347.63020212685018</c:v>
                </c:pt>
                <c:pt idx="63">
                  <c:v>358.60100339709601</c:v>
                </c:pt>
                <c:pt idx="64">
                  <c:v>260.03231321547509</c:v>
                </c:pt>
                <c:pt idx="65">
                  <c:v>269.77193063297682</c:v>
                </c:pt>
                <c:pt idx="66">
                  <c:v>279.50363527600848</c:v>
                </c:pt>
                <c:pt idx="67">
                  <c:v>289.22774169786436</c:v>
                </c:pt>
                <c:pt idx="68">
                  <c:v>298.94454155777515</c:v>
                </c:pt>
                <c:pt idx="69">
                  <c:v>308.65430599336338</c:v>
                </c:pt>
                <c:pt idx="70">
                  <c:v>318.62294171430648</c:v>
                </c:pt>
                <c:pt idx="71">
                  <c:v>328.58467368958503</c:v>
                </c:pt>
                <c:pt idx="72">
                  <c:v>338.53974084807078</c:v>
                </c:pt>
                <c:pt idx="73">
                  <c:v>348.48836691199364</c:v>
                </c:pt>
                <c:pt idx="74">
                  <c:v>358.43076178064831</c:v>
                </c:pt>
                <c:pt idx="75">
                  <c:v>368.36712275248732</c:v>
                </c:pt>
                <c:pt idx="76">
                  <c:v>291.91671551884872</c:v>
                </c:pt>
                <c:pt idx="77">
                  <c:v>300.87214322749122</c:v>
                </c:pt>
                <c:pt idx="78">
                  <c:v>309.82163676754641</c:v>
                </c:pt>
                <c:pt idx="79">
                  <c:v>318.76539185761334</c:v>
                </c:pt>
                <c:pt idx="80">
                  <c:v>327.70359232869743</c:v>
                </c:pt>
                <c:pt idx="81">
                  <c:v>336.63641115786692</c:v>
                </c:pt>
                <c:pt idx="82">
                  <c:v>345.70364470995446</c:v>
                </c:pt>
                <c:pt idx="83">
                  <c:v>354.76565626068276</c:v>
                </c:pt>
                <c:pt idx="84">
                  <c:v>363.82259809116505</c:v>
                </c:pt>
                <c:pt idx="85">
                  <c:v>372.87461427751396</c:v>
                </c:pt>
                <c:pt idx="86">
                  <c:v>381.92184132571924</c:v>
                </c:pt>
                <c:pt idx="87">
                  <c:v>390.96440874320393</c:v>
                </c:pt>
                <c:pt idx="88">
                  <c:v>316.23957957327008</c:v>
                </c:pt>
                <c:pt idx="89">
                  <c:v>324.36731982730089</c:v>
                </c:pt>
                <c:pt idx="90">
                  <c:v>332.49055967837018</c:v>
                </c:pt>
                <c:pt idx="91">
                  <c:v>340.60942467657702</c:v>
                </c:pt>
                <c:pt idx="92">
                  <c:v>348.72403389340735</c:v>
                </c:pt>
                <c:pt idx="93">
                  <c:v>356.8345004023297</c:v>
                </c:pt>
                <c:pt idx="94">
                  <c:v>364.97803760821688</c:v>
                </c:pt>
                <c:pt idx="95">
                  <c:v>373.11760631918406</c:v>
                </c:pt>
                <c:pt idx="96">
                  <c:v>381.25330537802529</c:v>
                </c:pt>
                <c:pt idx="97">
                  <c:v>389.38522906199631</c:v>
                </c:pt>
                <c:pt idx="98">
                  <c:v>397.51346738672737</c:v>
                </c:pt>
                <c:pt idx="99">
                  <c:v>405.63810638397126</c:v>
                </c:pt>
                <c:pt idx="100">
                  <c:v>212.76508133047199</c:v>
                </c:pt>
                <c:pt idx="101">
                  <c:v>218.67199561794735</c:v>
                </c:pt>
                <c:pt idx="102">
                  <c:v>224.57524361030281</c:v>
                </c:pt>
                <c:pt idx="103">
                  <c:v>230.47493544221061</c:v>
                </c:pt>
                <c:pt idx="104">
                  <c:v>236.37117514013221</c:v>
                </c:pt>
                <c:pt idx="105">
                  <c:v>241.87202761852049</c:v>
                </c:pt>
                <c:pt idx="106">
                  <c:v>247.37003385573931</c:v>
                </c:pt>
                <c:pt idx="107">
                  <c:v>252.86526614443781</c:v>
                </c:pt>
                <c:pt idx="108">
                  <c:v>258.35779337351011</c:v>
                </c:pt>
                <c:pt idx="109">
                  <c:v>263.84768125895852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50998688"/>
        <c:axId val="385863024"/>
      </c:scatterChart>
      <c:valAx>
        <c:axId val="19509986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863024"/>
        <c:crosses val="autoZero"/>
        <c:crossBetween val="midCat"/>
      </c:valAx>
      <c:valAx>
        <c:axId val="385863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509986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2.1019541298943403</c:v>
                </c:pt>
                <c:pt idx="2">
                  <c:v>2.6092270038457666</c:v>
                </c:pt>
                <c:pt idx="3">
                  <c:v>3.2393990939630002</c:v>
                </c:pt>
                <c:pt idx="4">
                  <c:v>4.0223548814233281</c:v>
                </c:pt>
                <c:pt idx="5">
                  <c:v>4.9952705096957573</c:v>
                </c:pt>
                <c:pt idx="6">
                  <c:v>6.2043985623739948</c:v>
                </c:pt>
                <c:pt idx="7">
                  <c:v>7.7072909789352968</c:v>
                </c:pt>
                <c:pt idx="8">
                  <c:v>9.5755679535423806</c:v>
                </c:pt>
                <c:pt idx="9">
                  <c:v>11.898367272328414</c:v>
                </c:pt>
                <c:pt idx="10">
                  <c:v>14.786641735464018</c:v>
                </c:pt>
                <c:pt idx="11">
                  <c:v>18.378513712274948</c:v>
                </c:pt>
                <c:pt idx="12">
                  <c:v>22.845947526097252</c:v>
                </c:pt>
                <c:pt idx="13">
                  <c:v>28.403064801162014</c:v>
                </c:pt>
                <c:pt idx="14">
                  <c:v>35.316508298429639</c:v>
                </c:pt>
                <c:pt idx="15">
                  <c:v>43.918360080877228</c:v>
                </c:pt>
                <c:pt idx="16">
                  <c:v>56.232228395839918</c:v>
                </c:pt>
                <c:pt idx="17">
                  <c:v>68.475062826736931</c:v>
                </c:pt>
                <c:pt idx="18">
                  <c:v>80.661435952614326</c:v>
                </c:pt>
                <c:pt idx="19">
                  <c:v>92.80111456272796</c:v>
                </c:pt>
                <c:pt idx="20">
                  <c:v>104.90108447574544</c:v>
                </c:pt>
                <c:pt idx="21">
                  <c:v>114.38380127391692</c:v>
                </c:pt>
                <c:pt idx="22">
                  <c:v>123.84727209125531</c:v>
                </c:pt>
                <c:pt idx="23">
                  <c:v>133.29317703829756</c:v>
                </c:pt>
                <c:pt idx="24">
                  <c:v>142.722938133306</c:v>
                </c:pt>
                <c:pt idx="25">
                  <c:v>152.13777377111359</c:v>
                </c:pt>
                <c:pt idx="26">
                  <c:v>127.28409932288616</c:v>
                </c:pt>
                <c:pt idx="27">
                  <c:v>136.72398095941844</c:v>
                </c:pt>
                <c:pt idx="28">
                  <c:v>146.14818298659551</c:v>
                </c:pt>
                <c:pt idx="29">
                  <c:v>155.55786032570967</c:v>
                </c:pt>
                <c:pt idx="30">
                  <c:v>164.95401652082657</c:v>
                </c:pt>
                <c:pt idx="31">
                  <c:v>173.76917851026886</c:v>
                </c:pt>
                <c:pt idx="32">
                  <c:v>182.57383216555033</c:v>
                </c:pt>
                <c:pt idx="33">
                  <c:v>191.36855633024649</c:v>
                </c:pt>
                <c:pt idx="34">
                  <c:v>200.15387222430391</c:v>
                </c:pt>
                <c:pt idx="35">
                  <c:v>208.93025151398959</c:v>
                </c:pt>
                <c:pt idx="36">
                  <c:v>167.79880331835705</c:v>
                </c:pt>
                <c:pt idx="37">
                  <c:v>176.32642399290845</c:v>
                </c:pt>
                <c:pt idx="38">
                  <c:v>184.84436712462616</c:v>
                </c:pt>
                <c:pt idx="39">
                  <c:v>193.35314212581184</c:v>
                </c:pt>
                <c:pt idx="40">
                  <c:v>201.85320984852044</c:v>
                </c:pt>
                <c:pt idx="41">
                  <c:v>209.77912051135695</c:v>
                </c:pt>
                <c:pt idx="42">
                  <c:v>217.69812295281329</c:v>
                </c:pt>
                <c:pt idx="43">
                  <c:v>225.61050422909793</c:v>
                </c:pt>
                <c:pt idx="44">
                  <c:v>233.51652959110689</c:v>
                </c:pt>
                <c:pt idx="45">
                  <c:v>241.41644483936707</c:v>
                </c:pt>
                <c:pt idx="46">
                  <c:v>194.77041295233721</c:v>
                </c:pt>
                <c:pt idx="47">
                  <c:v>201.85320984852038</c:v>
                </c:pt>
                <c:pt idx="48">
                  <c:v>208.93025151398959</c:v>
                </c:pt>
                <c:pt idx="49">
                  <c:v>216.00176068460632</c:v>
                </c:pt>
                <c:pt idx="50">
                  <c:v>223.06794429933814</c:v>
                </c:pt>
                <c:pt idx="51">
                  <c:v>229.56429560621905</c:v>
                </c:pt>
                <c:pt idx="52">
                  <c:v>236.05644310479678</c:v>
                </c:pt>
                <c:pt idx="53">
                  <c:v>242.5445188956428</c:v>
                </c:pt>
                <c:pt idx="54">
                  <c:v>249.02864742441963</c:v>
                </c:pt>
                <c:pt idx="55">
                  <c:v>255.50894611772114</c:v>
                </c:pt>
                <c:pt idx="56">
                  <c:v>212.60811330323972</c:v>
                </c:pt>
                <c:pt idx="57">
                  <c:v>219.11152587483434</c:v>
                </c:pt>
                <c:pt idx="58">
                  <c:v>225.61050422909787</c:v>
                </c:pt>
                <c:pt idx="59">
                  <c:v>232.10519431769936</c:v>
                </c:pt>
                <c:pt idx="60">
                  <c:v>238.59573324490506</c:v>
                </c:pt>
                <c:pt idx="61">
                  <c:v>244.51836163877559</c:v>
                </c:pt>
                <c:pt idx="62">
                  <c:v>250.43772987290299</c:v>
                </c:pt>
                <c:pt idx="63">
                  <c:v>256.35392599796705</c:v>
                </c:pt>
                <c:pt idx="64">
                  <c:v>262.26703366253588</c:v>
                </c:pt>
                <c:pt idx="65">
                  <c:v>268.17713242968784</c:v>
                </c:pt>
                <c:pt idx="66">
                  <c:v>227.02275330173816</c:v>
                </c:pt>
                <c:pt idx="67">
                  <c:v>232.38747702067249</c:v>
                </c:pt>
                <c:pt idx="68">
                  <c:v>237.74937198994937</c:v>
                </c:pt>
                <c:pt idx="69">
                  <c:v>243.10851112008797</c:v>
                </c:pt>
                <c:pt idx="70">
                  <c:v>248.46496383915061</c:v>
                </c:pt>
                <c:pt idx="71">
                  <c:v>253.53707996444214</c:v>
                </c:pt>
                <c:pt idx="72">
                  <c:v>258.60689820869118</c:v>
                </c:pt>
                <c:pt idx="73">
                  <c:v>263.67447005481563</c:v>
                </c:pt>
                <c:pt idx="74">
                  <c:v>268.73984484198519</c:v>
                </c:pt>
                <c:pt idx="75">
                  <c:v>273.80306989453686</c:v>
                </c:pt>
                <c:pt idx="76">
                  <c:v>237.74937198994937</c:v>
                </c:pt>
                <c:pt idx="77">
                  <c:v>242.54451889564268</c:v>
                </c:pt>
                <c:pt idx="78">
                  <c:v>247.33750950241188</c:v>
                </c:pt>
                <c:pt idx="79">
                  <c:v>252.12839156974792</c:v>
                </c:pt>
                <c:pt idx="80">
                  <c:v>256.91721089069443</c:v>
                </c:pt>
                <c:pt idx="81">
                  <c:v>261.14096179913906</c:v>
                </c:pt>
                <c:pt idx="82">
                  <c:v>265.36317005758764</c:v>
                </c:pt>
                <c:pt idx="83">
                  <c:v>269.58386372149988</c:v>
                </c:pt>
                <c:pt idx="84">
                  <c:v>273.80306989453686</c:v>
                </c:pt>
                <c:pt idx="85">
                  <c:v>278.02081477536069</c:v>
                </c:pt>
                <c:pt idx="86">
                  <c:v>281.95608061803074</c:v>
                </c:pt>
                <c:pt idx="87">
                  <c:v>285.89011554693974</c:v>
                </c:pt>
                <c:pt idx="88">
                  <c:v>289.82293892179945</c:v>
                </c:pt>
                <c:pt idx="89">
                  <c:v>293.75456953309504</c:v>
                </c:pt>
                <c:pt idx="90">
                  <c:v>297.68502562639225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5861392"/>
        <c:axId val="385859760"/>
      </c:scatterChart>
      <c:valAx>
        <c:axId val="3858613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859760"/>
        <c:crosses val="autoZero"/>
        <c:crossBetween val="midCat"/>
      </c:valAx>
      <c:valAx>
        <c:axId val="385859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8613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1.8295197539767536</c:v>
                </c:pt>
                <c:pt idx="2">
                  <c:v>2.1581120817815935</c:v>
                </c:pt>
                <c:pt idx="3">
                  <c:v>2.5459424560119226</c:v>
                </c:pt>
                <c:pt idx="4">
                  <c:v>3.0037279203968943</c:v>
                </c:pt>
                <c:pt idx="5">
                  <c:v>3.5441308039333044</c:v>
                </c:pt>
                <c:pt idx="6">
                  <c:v>4.1821129024632766</c:v>
                </c:pt>
                <c:pt idx="7">
                  <c:v>4.9353543302261746</c:v>
                </c:pt>
                <c:pt idx="8">
                  <c:v>5.8247488803625238</c:v>
                </c:pt>
                <c:pt idx="9">
                  <c:v>6.8749899058677952</c:v>
                </c:pt>
                <c:pt idx="10">
                  <c:v>8.1152633045524833</c:v>
                </c:pt>
                <c:pt idx="11">
                  <c:v>9.5800672367840658</c:v>
                </c:pt>
                <c:pt idx="12">
                  <c:v>11.310181810379349</c:v>
                </c:pt>
                <c:pt idx="13">
                  <c:v>13.353816236298281</c:v>
                </c:pt>
                <c:pt idx="14">
                  <c:v>15.767966014159951</c:v>
                </c:pt>
                <c:pt idx="15">
                  <c:v>18.620018693066893</c:v>
                </c:pt>
                <c:pt idx="16">
                  <c:v>21.98965384258679</c:v>
                </c:pt>
                <c:pt idx="17">
                  <c:v>25.971091264557455</c:v>
                </c:pt>
                <c:pt idx="18">
                  <c:v>30.675751419835521</c:v>
                </c:pt>
                <c:pt idx="19">
                  <c:v>36.235403820984438</c:v>
                </c:pt>
                <c:pt idx="20">
                  <c:v>42.805893090827503</c:v>
                </c:pt>
                <c:pt idx="21">
                  <c:v>50.571548909057121</c:v>
                </c:pt>
                <c:pt idx="22">
                  <c:v>59.750405640218126</c:v>
                </c:pt>
                <c:pt idx="23">
                  <c:v>70.600380619902097</c:v>
                </c:pt>
                <c:pt idx="24">
                  <c:v>83.426587539743181</c:v>
                </c:pt>
                <c:pt idx="25">
                  <c:v>98.589993907285461</c:v>
                </c:pt>
                <c:pt idx="26">
                  <c:v>116.51767010205441</c:v>
                </c:pt>
                <c:pt idx="27">
                  <c:v>137.71492321601389</c:v>
                </c:pt>
                <c:pt idx="28">
                  <c:v>162.77966297279517</c:v>
                </c:pt>
                <c:pt idx="29">
                  <c:v>192.41941112758346</c:v>
                </c:pt>
                <c:pt idx="30">
                  <c:v>141.49966497096375</c:v>
                </c:pt>
                <c:pt idx="31">
                  <c:v>158.12953637422072</c:v>
                </c:pt>
                <c:pt idx="32">
                  <c:v>174.71791234101428</c:v>
                </c:pt>
                <c:pt idx="33">
                  <c:v>191.26928949616084</c:v>
                </c:pt>
                <c:pt idx="34">
                  <c:v>207.78732141695943</c:v>
                </c:pt>
                <c:pt idx="35">
                  <c:v>224.27503265620331</c:v>
                </c:pt>
                <c:pt idx="36">
                  <c:v>240.73496634396329</c:v>
                </c:pt>
                <c:pt idx="37">
                  <c:v>257.1692892113989</c:v>
                </c:pt>
                <c:pt idx="38">
                  <c:v>273.57986831240407</c:v>
                </c:pt>
                <c:pt idx="39">
                  <c:v>196.06476677586264</c:v>
                </c:pt>
                <c:pt idx="40">
                  <c:v>212.62586829656445</c:v>
                </c:pt>
                <c:pt idx="41">
                  <c:v>229.157252243241</c:v>
                </c:pt>
                <c:pt idx="42">
                  <c:v>245.66136445665168</c:v>
                </c:pt>
                <c:pt idx="43">
                  <c:v>262.14029510473932</c:v>
                </c:pt>
                <c:pt idx="44">
                  <c:v>278.5958499925427</c:v>
                </c:pt>
                <c:pt idx="45">
                  <c:v>295.02960411862381</c:v>
                </c:pt>
                <c:pt idx="46">
                  <c:v>311.44294266102321</c:v>
                </c:pt>
                <c:pt idx="47">
                  <c:v>327.83709286372851</c:v>
                </c:pt>
                <c:pt idx="48">
                  <c:v>344.21314920713166</c:v>
                </c:pt>
                <c:pt idx="49">
                  <c:v>360.57209353569016</c:v>
                </c:pt>
                <c:pt idx="50">
                  <c:v>260.41755919686585</c:v>
                </c:pt>
                <c:pt idx="51">
                  <c:v>280.63665542007806</c:v>
                </c:pt>
                <c:pt idx="52">
                  <c:v>300.82309989235995</c:v>
                </c:pt>
                <c:pt idx="53">
                  <c:v>320.97939105673277</c:v>
                </c:pt>
                <c:pt idx="54">
                  <c:v>341.10768796533574</c:v>
                </c:pt>
                <c:pt idx="55">
                  <c:v>361.20987410826933</c:v>
                </c:pt>
                <c:pt idx="56">
                  <c:v>381.28760628111837</c:v>
                </c:pt>
                <c:pt idx="57">
                  <c:v>401.34235261702315</c:v>
                </c:pt>
                <c:pt idx="58">
                  <c:v>292.56004945354147</c:v>
                </c:pt>
                <c:pt idx="59">
                  <c:v>308.95310405195488</c:v>
                </c:pt>
                <c:pt idx="60">
                  <c:v>325.32684808209274</c:v>
                </c:pt>
                <c:pt idx="61">
                  <c:v>341.68239012027084</c:v>
                </c:pt>
                <c:pt idx="62">
                  <c:v>358.020723953877</c:v>
                </c:pt>
                <c:pt idx="63">
                  <c:v>374.34274527279496</c:v>
                </c:pt>
                <c:pt idx="64">
                  <c:v>390.64926529688188</c:v>
                </c:pt>
                <c:pt idx="65">
                  <c:v>406.94102200891183</c:v>
                </c:pt>
                <c:pt idx="66">
                  <c:v>423.21868949467256</c:v>
                </c:pt>
                <c:pt idx="67">
                  <c:v>439.48288577116256</c:v>
                </c:pt>
                <c:pt idx="68">
                  <c:v>325.74525184325216</c:v>
                </c:pt>
                <c:pt idx="69">
                  <c:v>340.73034668701627</c:v>
                </c:pt>
                <c:pt idx="70">
                  <c:v>355.70095169890595</c:v>
                </c:pt>
                <c:pt idx="71">
                  <c:v>370.6577625546318</c:v>
                </c:pt>
                <c:pt idx="72">
                  <c:v>385.60141420629412</c:v>
                </c:pt>
                <c:pt idx="73">
                  <c:v>400.53248837991811</c:v>
                </c:pt>
                <c:pt idx="74">
                  <c:v>415.45151989655164</c:v>
                </c:pt>
                <c:pt idx="75">
                  <c:v>430.35900203798877</c:v>
                </c:pt>
                <c:pt idx="76">
                  <c:v>445.25539113026753</c:v>
                </c:pt>
                <c:pt idx="77">
                  <c:v>460.1411104818597</c:v>
                </c:pt>
                <c:pt idx="78">
                  <c:v>475.01655378575714</c:v>
                </c:pt>
                <c:pt idx="79">
                  <c:v>360.37584839681546</c:v>
                </c:pt>
                <c:pt idx="80">
                  <c:v>372.93088642583785</c:v>
                </c:pt>
                <c:pt idx="81">
                  <c:v>385.47671383914604</c:v>
                </c:pt>
                <c:pt idx="82">
                  <c:v>398.01367268114768</c:v>
                </c:pt>
                <c:pt idx="83">
                  <c:v>410.54208168778837</c:v>
                </c:pt>
                <c:pt idx="84">
                  <c:v>423.06223855277807</c:v>
                </c:pt>
                <c:pt idx="85">
                  <c:v>435.5744219115395</c:v>
                </c:pt>
                <c:pt idx="86">
                  <c:v>448.07889308530258</c:v>
                </c:pt>
                <c:pt idx="87">
                  <c:v>460.5758976203619</c:v>
                </c:pt>
                <c:pt idx="88">
                  <c:v>473.06566665157521</c:v>
                </c:pt>
                <c:pt idx="89">
                  <c:v>485.54841811437319</c:v>
                </c:pt>
                <c:pt idx="90">
                  <c:v>498.02435782565607</c:v>
                </c:pt>
                <c:pt idx="91">
                  <c:v>510.49368045075397</c:v>
                </c:pt>
                <c:pt idx="92">
                  <c:v>7.5605490043076185E-12</c:v>
                </c:pt>
                <c:pt idx="93">
                  <c:v>7.5605490043076185E-12</c:v>
                </c:pt>
                <c:pt idx="94">
                  <c:v>7.5605490043076185E-12</c:v>
                </c:pt>
                <c:pt idx="95">
                  <c:v>7.5605490043076185E-12</c:v>
                </c:pt>
                <c:pt idx="96">
                  <c:v>7.5605490043076185E-12</c:v>
                </c:pt>
                <c:pt idx="97">
                  <c:v>7.5605490043076185E-12</c:v>
                </c:pt>
                <c:pt idx="98">
                  <c:v>7.5605490043076185E-12</c:v>
                </c:pt>
                <c:pt idx="99">
                  <c:v>7.5605490043076185E-12</c:v>
                </c:pt>
                <c:pt idx="100">
                  <c:v>7.5605490043076185E-12</c:v>
                </c:pt>
                <c:pt idx="101">
                  <c:v>7.5605490043076185E-12</c:v>
                </c:pt>
                <c:pt idx="102">
                  <c:v>7.5605490043076185E-12</c:v>
                </c:pt>
                <c:pt idx="103">
                  <c:v>7.5605490043076185E-12</c:v>
                </c:pt>
                <c:pt idx="104">
                  <c:v>7.5605490043076185E-12</c:v>
                </c:pt>
                <c:pt idx="105">
                  <c:v>7.5605490043076185E-12</c:v>
                </c:pt>
                <c:pt idx="106">
                  <c:v>7.5605490043076185E-12</c:v>
                </c:pt>
                <c:pt idx="107">
                  <c:v>7.5605490043076185E-12</c:v>
                </c:pt>
                <c:pt idx="108">
                  <c:v>7.5605490043076185E-12</c:v>
                </c:pt>
                <c:pt idx="109">
                  <c:v>7.5605490043076185E-12</c:v>
                </c:pt>
                <c:pt idx="110">
                  <c:v>7.5605490043076185E-12</c:v>
                </c:pt>
                <c:pt idx="111">
                  <c:v>7.5605490043076185E-12</c:v>
                </c:pt>
                <c:pt idx="112">
                  <c:v>7.5605490043076185E-12</c:v>
                </c:pt>
                <c:pt idx="113">
                  <c:v>7.5605490043076185E-12</c:v>
                </c:pt>
                <c:pt idx="114">
                  <c:v>7.5605490043076185E-12</c:v>
                </c:pt>
                <c:pt idx="115">
                  <c:v>7.5605490043076185E-12</c:v>
                </c:pt>
                <c:pt idx="116">
                  <c:v>7.5605490043076185E-12</c:v>
                </c:pt>
                <c:pt idx="117">
                  <c:v>7.5605490043076185E-12</c:v>
                </c:pt>
                <c:pt idx="118">
                  <c:v>7.5605490043076185E-12</c:v>
                </c:pt>
                <c:pt idx="119">
                  <c:v>7.5605490043076185E-12</c:v>
                </c:pt>
                <c:pt idx="120">
                  <c:v>7.5605490043076185E-12</c:v>
                </c:pt>
                <c:pt idx="121">
                  <c:v>7.5605490043076185E-12</c:v>
                </c:pt>
                <c:pt idx="122">
                  <c:v>7.5605490043076185E-12</c:v>
                </c:pt>
                <c:pt idx="123">
                  <c:v>7.5605490043076185E-12</c:v>
                </c:pt>
                <c:pt idx="124">
                  <c:v>7.5605490043076185E-12</c:v>
                </c:pt>
                <c:pt idx="125">
                  <c:v>7.5605490043076185E-12</c:v>
                </c:pt>
                <c:pt idx="126">
                  <c:v>7.5605490043076185E-12</c:v>
                </c:pt>
                <c:pt idx="127">
                  <c:v>7.5605490043076185E-12</c:v>
                </c:pt>
                <c:pt idx="128">
                  <c:v>7.5605490043076185E-12</c:v>
                </c:pt>
                <c:pt idx="129">
                  <c:v>7.5605490043076185E-12</c:v>
                </c:pt>
                <c:pt idx="130">
                  <c:v>7.5605490043076185E-12</c:v>
                </c:pt>
                <c:pt idx="131">
                  <c:v>7.5605490043076185E-12</c:v>
                </c:pt>
                <c:pt idx="132">
                  <c:v>7.5605490043076185E-12</c:v>
                </c:pt>
                <c:pt idx="133">
                  <c:v>7.5605490043076185E-12</c:v>
                </c:pt>
                <c:pt idx="134">
                  <c:v>7.5605490043076185E-12</c:v>
                </c:pt>
                <c:pt idx="135">
                  <c:v>7.5605490043076185E-12</c:v>
                </c:pt>
                <c:pt idx="136">
                  <c:v>7.5605490043076185E-12</c:v>
                </c:pt>
                <c:pt idx="137">
                  <c:v>7.5605490043076185E-12</c:v>
                </c:pt>
                <c:pt idx="138">
                  <c:v>7.5605490043076185E-12</c:v>
                </c:pt>
                <c:pt idx="139">
                  <c:v>7.5605490043076185E-12</c:v>
                </c:pt>
                <c:pt idx="140">
                  <c:v>7.5605490043076185E-12</c:v>
                </c:pt>
                <c:pt idx="141">
                  <c:v>7.5605490043076185E-12</c:v>
                </c:pt>
                <c:pt idx="142">
                  <c:v>7.5605490043076185E-12</c:v>
                </c:pt>
                <c:pt idx="143">
                  <c:v>7.5605490043076185E-12</c:v>
                </c:pt>
                <c:pt idx="144">
                  <c:v>7.5605490043076185E-12</c:v>
                </c:pt>
                <c:pt idx="145">
                  <c:v>7.5605490043076185E-12</c:v>
                </c:pt>
                <c:pt idx="146">
                  <c:v>7.5605490043076185E-12</c:v>
                </c:pt>
                <c:pt idx="147">
                  <c:v>7.5605490043076185E-12</c:v>
                </c:pt>
                <c:pt idx="148">
                  <c:v>7.5605490043076185E-12</c:v>
                </c:pt>
                <c:pt idx="149">
                  <c:v>7.5605490043076185E-12</c:v>
                </c:pt>
                <c:pt idx="150">
                  <c:v>7.5605490043076185E-12</c:v>
                </c:pt>
                <c:pt idx="151">
                  <c:v>7.5605490043076185E-12</c:v>
                </c:pt>
                <c:pt idx="152">
                  <c:v>7.5605490043076185E-12</c:v>
                </c:pt>
                <c:pt idx="153">
                  <c:v>7.5605490043076185E-12</c:v>
                </c:pt>
                <c:pt idx="154">
                  <c:v>7.5605490043076185E-12</c:v>
                </c:pt>
                <c:pt idx="155">
                  <c:v>7.5605490043076185E-12</c:v>
                </c:pt>
                <c:pt idx="156">
                  <c:v>7.5605490043076185E-12</c:v>
                </c:pt>
                <c:pt idx="157">
                  <c:v>7.5605490043076185E-12</c:v>
                </c:pt>
                <c:pt idx="158">
                  <c:v>7.5605490043076185E-12</c:v>
                </c:pt>
                <c:pt idx="159">
                  <c:v>7.5605490043076185E-12</c:v>
                </c:pt>
                <c:pt idx="160">
                  <c:v>7.5605490043076185E-12</c:v>
                </c:pt>
                <c:pt idx="161">
                  <c:v>7.5605490043076185E-12</c:v>
                </c:pt>
                <c:pt idx="162">
                  <c:v>7.5605490043076185E-12</c:v>
                </c:pt>
                <c:pt idx="163">
                  <c:v>7.5605490043076185E-12</c:v>
                </c:pt>
                <c:pt idx="164">
                  <c:v>7.5605490043076185E-12</c:v>
                </c:pt>
                <c:pt idx="165">
                  <c:v>7.5605490043076185E-12</c:v>
                </c:pt>
                <c:pt idx="166">
                  <c:v>7.5605490043076185E-12</c:v>
                </c:pt>
                <c:pt idx="167">
                  <c:v>7.5605490043076185E-12</c:v>
                </c:pt>
                <c:pt idx="168">
                  <c:v>7.5605490043076185E-12</c:v>
                </c:pt>
                <c:pt idx="169">
                  <c:v>7.5605490043076185E-12</c:v>
                </c:pt>
                <c:pt idx="170">
                  <c:v>7.5605490043076185E-12</c:v>
                </c:pt>
                <c:pt idx="171">
                  <c:v>7.5605490043076185E-12</c:v>
                </c:pt>
                <c:pt idx="172">
                  <c:v>7.5605490043076185E-12</c:v>
                </c:pt>
                <c:pt idx="173">
                  <c:v>7.5605490043076185E-12</c:v>
                </c:pt>
                <c:pt idx="174">
                  <c:v>7.5605490043076185E-12</c:v>
                </c:pt>
                <c:pt idx="175">
                  <c:v>7.5605490043076185E-12</c:v>
                </c:pt>
                <c:pt idx="176">
                  <c:v>7.5605490043076185E-12</c:v>
                </c:pt>
                <c:pt idx="177">
                  <c:v>7.5605490043076185E-12</c:v>
                </c:pt>
                <c:pt idx="178">
                  <c:v>7.5605490043076185E-12</c:v>
                </c:pt>
                <c:pt idx="179">
                  <c:v>7.5605490043076185E-12</c:v>
                </c:pt>
                <c:pt idx="180">
                  <c:v>7.5605490043076185E-12</c:v>
                </c:pt>
                <c:pt idx="181">
                  <c:v>7.5605490043076185E-12</c:v>
                </c:pt>
                <c:pt idx="182">
                  <c:v>7.5605490043076185E-12</c:v>
                </c:pt>
                <c:pt idx="183">
                  <c:v>7.5605490043076185E-12</c:v>
                </c:pt>
                <c:pt idx="184">
                  <c:v>7.5605490043076185E-12</c:v>
                </c:pt>
                <c:pt idx="185">
                  <c:v>7.5605490043076185E-12</c:v>
                </c:pt>
                <c:pt idx="186">
                  <c:v>7.5605490043076185E-12</c:v>
                </c:pt>
                <c:pt idx="187">
                  <c:v>7.5605490043076185E-12</c:v>
                </c:pt>
                <c:pt idx="188">
                  <c:v>7.5605490043076185E-12</c:v>
                </c:pt>
                <c:pt idx="189">
                  <c:v>7.5605490043076185E-12</c:v>
                </c:pt>
                <c:pt idx="190">
                  <c:v>7.5605490043076185E-12</c:v>
                </c:pt>
                <c:pt idx="191">
                  <c:v>7.5605490043076185E-12</c:v>
                </c:pt>
                <c:pt idx="192">
                  <c:v>7.5605490043076185E-12</c:v>
                </c:pt>
                <c:pt idx="193">
                  <c:v>7.5605490043076185E-12</c:v>
                </c:pt>
                <c:pt idx="194">
                  <c:v>7.5605490043076185E-12</c:v>
                </c:pt>
                <c:pt idx="195">
                  <c:v>7.5605490043076185E-12</c:v>
                </c:pt>
                <c:pt idx="196">
                  <c:v>7.5605490043076185E-12</c:v>
                </c:pt>
                <c:pt idx="197">
                  <c:v>7.5605490043076185E-12</c:v>
                </c:pt>
                <c:pt idx="198">
                  <c:v>7.5605490043076185E-12</c:v>
                </c:pt>
                <c:pt idx="199">
                  <c:v>7.5605490043076185E-12</c:v>
                </c:pt>
                <c:pt idx="200">
                  <c:v>7.5605490043076185E-12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5860848"/>
        <c:axId val="385861936"/>
      </c:scatterChart>
      <c:valAx>
        <c:axId val="3858608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861936"/>
        <c:crosses val="autoZero"/>
        <c:crossBetween val="midCat"/>
      </c:valAx>
      <c:valAx>
        <c:axId val="385861936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8608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0" t="s">
        <v>291</v>
      </c>
      <c r="C12" s="290"/>
      <c r="D12" s="290"/>
      <c r="E12" s="290"/>
      <c r="F12" s="290"/>
      <c r="G12" s="290"/>
      <c r="H12" s="290"/>
      <c r="I12" s="290"/>
      <c r="J12" s="290"/>
      <c r="K12" s="290"/>
      <c r="L12" s="290"/>
      <c r="M12" s="290"/>
    </row>
    <row r="13" spans="2:13" ht="15" customHeight="1" x14ac:dyDescent="0.3">
      <c r="B13" s="290"/>
      <c r="C13" s="290"/>
      <c r="D13" s="290"/>
      <c r="E13" s="290"/>
      <c r="F13" s="290"/>
      <c r="G13" s="290"/>
      <c r="H13" s="290"/>
      <c r="I13" s="290"/>
      <c r="J13" s="290"/>
      <c r="K13" s="290"/>
      <c r="L13" s="290"/>
      <c r="M13" s="290"/>
    </row>
    <row r="14" spans="2:13" ht="15" customHeight="1" x14ac:dyDescent="0.3">
      <c r="B14" s="290"/>
      <c r="C14" s="290"/>
      <c r="D14" s="290"/>
      <c r="E14" s="290"/>
      <c r="F14" s="290"/>
      <c r="G14" s="290"/>
      <c r="H14" s="290"/>
      <c r="I14" s="290"/>
      <c r="J14" s="290"/>
      <c r="K14" s="290"/>
      <c r="L14" s="290"/>
      <c r="M14" s="290"/>
    </row>
    <row r="15" spans="2:13" ht="18.75" customHeight="1" x14ac:dyDescent="0.3">
      <c r="B15" s="290"/>
      <c r="C15" s="290"/>
      <c r="D15" s="290"/>
      <c r="E15" s="290"/>
      <c r="F15" s="290"/>
      <c r="G15" s="290"/>
      <c r="H15" s="290"/>
      <c r="I15" s="290"/>
      <c r="J15" s="290"/>
      <c r="K15" s="290"/>
      <c r="L15" s="290"/>
      <c r="M15" s="290"/>
    </row>
    <row r="16" spans="2:13" ht="18.75" customHeight="1" x14ac:dyDescent="0.3">
      <c r="B16" s="290"/>
      <c r="C16" s="290"/>
      <c r="D16" s="290"/>
      <c r="E16" s="290"/>
      <c r="F16" s="290"/>
      <c r="G16" s="290"/>
      <c r="H16" s="290"/>
      <c r="I16" s="290"/>
      <c r="J16" s="290"/>
      <c r="K16" s="290"/>
      <c r="L16" s="290"/>
      <c r="M16" s="290"/>
    </row>
    <row r="18" spans="2:13" ht="12" customHeight="1" x14ac:dyDescent="0.3">
      <c r="B18" s="290" t="s">
        <v>292</v>
      </c>
      <c r="C18" s="290"/>
      <c r="D18" s="290"/>
      <c r="E18" s="290"/>
      <c r="F18" s="290"/>
      <c r="G18" s="290"/>
      <c r="H18" s="290"/>
      <c r="I18" s="290"/>
      <c r="J18" s="290"/>
      <c r="K18" s="290"/>
      <c r="L18" s="290"/>
      <c r="M18" s="290"/>
    </row>
    <row r="19" spans="2:13" ht="12" customHeight="1" x14ac:dyDescent="0.3">
      <c r="B19" s="290"/>
      <c r="C19" s="290"/>
      <c r="D19" s="290"/>
      <c r="E19" s="290"/>
      <c r="F19" s="290"/>
      <c r="G19" s="290"/>
      <c r="H19" s="290"/>
      <c r="I19" s="290"/>
      <c r="J19" s="290"/>
      <c r="K19" s="290"/>
      <c r="L19" s="290"/>
      <c r="M19" s="290"/>
    </row>
    <row r="20" spans="2:13" ht="12" customHeight="1" x14ac:dyDescent="0.3">
      <c r="B20" s="290"/>
      <c r="C20" s="290"/>
      <c r="D20" s="290"/>
      <c r="E20" s="290"/>
      <c r="F20" s="290"/>
      <c r="G20" s="290"/>
      <c r="H20" s="290"/>
      <c r="I20" s="290"/>
      <c r="J20" s="290"/>
      <c r="K20" s="290"/>
      <c r="L20" s="290"/>
      <c r="M20" s="290"/>
    </row>
    <row r="21" spans="2:13" ht="12" customHeight="1" x14ac:dyDescent="0.3">
      <c r="B21" s="290"/>
      <c r="C21" s="290"/>
      <c r="D21" s="290"/>
      <c r="E21" s="290"/>
      <c r="F21" s="290"/>
      <c r="G21" s="290"/>
      <c r="H21" s="290"/>
      <c r="I21" s="290"/>
      <c r="J21" s="290"/>
      <c r="K21" s="290"/>
      <c r="L21" s="290"/>
      <c r="M21" s="290"/>
    </row>
    <row r="22" spans="2:13" ht="12" customHeight="1" x14ac:dyDescent="0.3">
      <c r="B22" s="290"/>
      <c r="C22" s="290"/>
      <c r="D22" s="290"/>
      <c r="E22" s="290"/>
      <c r="F22" s="290"/>
      <c r="G22" s="290"/>
      <c r="H22" s="290"/>
      <c r="I22" s="290"/>
      <c r="J22" s="290"/>
      <c r="K22" s="290"/>
      <c r="L22" s="290"/>
      <c r="M22" s="290"/>
    </row>
    <row r="23" spans="2:13" ht="12" customHeight="1" x14ac:dyDescent="0.3">
      <c r="B23" s="290"/>
      <c r="C23" s="290"/>
      <c r="D23" s="290"/>
      <c r="E23" s="290"/>
      <c r="F23" s="290"/>
      <c r="G23" s="290"/>
      <c r="H23" s="290"/>
      <c r="I23" s="290"/>
      <c r="J23" s="290"/>
      <c r="K23" s="290"/>
      <c r="L23" s="290"/>
      <c r="M23" s="290"/>
    </row>
    <row r="24" spans="2:13" ht="12" customHeight="1" x14ac:dyDescent="0.3">
      <c r="B24" s="290"/>
      <c r="C24" s="290"/>
      <c r="D24" s="290"/>
      <c r="E24" s="290"/>
      <c r="F24" s="290"/>
      <c r="G24" s="290"/>
      <c r="H24" s="290"/>
      <c r="I24" s="290"/>
      <c r="J24" s="290"/>
      <c r="K24" s="290"/>
      <c r="L24" s="290"/>
      <c r="M24" s="290"/>
    </row>
    <row r="25" spans="2:13" ht="12" customHeight="1" x14ac:dyDescent="0.3">
      <c r="B25" s="290"/>
      <c r="C25" s="290"/>
      <c r="D25" s="290"/>
      <c r="E25" s="290"/>
      <c r="F25" s="290"/>
      <c r="G25" s="290"/>
      <c r="H25" s="290"/>
      <c r="I25" s="290"/>
      <c r="J25" s="290"/>
      <c r="K25" s="290"/>
      <c r="L25" s="290"/>
      <c r="M25" s="290"/>
    </row>
    <row r="26" spans="2:13" ht="12" customHeight="1" x14ac:dyDescent="0.3">
      <c r="B26" s="290"/>
      <c r="C26" s="290"/>
      <c r="D26" s="290"/>
      <c r="E26" s="290"/>
      <c r="F26" s="290"/>
      <c r="G26" s="290"/>
      <c r="H26" s="290"/>
      <c r="I26" s="290"/>
      <c r="J26" s="290"/>
      <c r="K26" s="290"/>
      <c r="L26" s="290"/>
      <c r="M26" s="290"/>
    </row>
    <row r="27" spans="2:13" ht="12" customHeight="1" x14ac:dyDescent="0.3">
      <c r="B27" s="290"/>
      <c r="C27" s="290"/>
      <c r="D27" s="290"/>
      <c r="E27" s="290"/>
      <c r="F27" s="290"/>
      <c r="G27" s="290"/>
      <c r="H27" s="290"/>
      <c r="I27" s="290"/>
      <c r="J27" s="290"/>
      <c r="K27" s="290"/>
      <c r="L27" s="290"/>
      <c r="M27" s="290"/>
    </row>
    <row r="28" spans="2:13" ht="12" customHeight="1" x14ac:dyDescent="0.3">
      <c r="B28" s="290"/>
      <c r="C28" s="290"/>
      <c r="D28" s="290"/>
      <c r="E28" s="290"/>
      <c r="F28" s="290"/>
      <c r="G28" s="290"/>
      <c r="H28" s="290"/>
      <c r="I28" s="290"/>
      <c r="J28" s="290"/>
      <c r="K28" s="290"/>
      <c r="L28" s="290"/>
      <c r="M28" s="290"/>
    </row>
    <row r="29" spans="2:13" ht="12" customHeight="1" x14ac:dyDescent="0.3">
      <c r="B29" s="290"/>
      <c r="C29" s="290"/>
      <c r="D29" s="290"/>
      <c r="E29" s="290"/>
      <c r="F29" s="290"/>
      <c r="G29" s="290"/>
      <c r="H29" s="290"/>
      <c r="I29" s="290"/>
      <c r="J29" s="290"/>
      <c r="K29" s="290"/>
      <c r="L29" s="290"/>
      <c r="M29" s="290"/>
    </row>
    <row r="30" spans="2:13" ht="12" customHeight="1" x14ac:dyDescent="0.3">
      <c r="B30" s="290"/>
      <c r="C30" s="290"/>
      <c r="D30" s="290"/>
      <c r="E30" s="290"/>
      <c r="F30" s="290"/>
      <c r="G30" s="290"/>
      <c r="H30" s="290"/>
      <c r="I30" s="290"/>
      <c r="J30" s="290"/>
      <c r="K30" s="290"/>
      <c r="L30" s="290"/>
      <c r="M30" s="290"/>
    </row>
    <row r="31" spans="2:13" ht="12" customHeight="1" x14ac:dyDescent="0.3">
      <c r="B31" s="290"/>
      <c r="C31" s="290"/>
      <c r="D31" s="290"/>
      <c r="E31" s="290"/>
      <c r="F31" s="290"/>
      <c r="G31" s="290"/>
      <c r="H31" s="290"/>
      <c r="I31" s="290"/>
      <c r="J31" s="290"/>
      <c r="K31" s="290"/>
      <c r="L31" s="290"/>
      <c r="M31" s="290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zoomScale="80" zoomScaleNormal="80" workbookViewId="0">
      <selection activeCell="C28" sqref="C28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1" t="s">
        <v>190</v>
      </c>
      <c r="D1" s="291"/>
      <c r="E1" s="29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6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6" t="s">
        <v>192</v>
      </c>
      <c r="C3" s="297"/>
      <c r="D3" s="297"/>
      <c r="E3" s="297"/>
      <c r="F3" s="298"/>
      <c r="G3" s="93"/>
      <c r="I3" s="226" t="s">
        <v>304</v>
      </c>
      <c r="J3" s="9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5"/>
      <c r="B4" s="95"/>
      <c r="C4" s="95"/>
      <c r="D4" s="95"/>
      <c r="E4" s="95"/>
      <c r="F4" s="95"/>
      <c r="G4" s="236"/>
      <c r="I4" s="226" t="s">
        <v>305</v>
      </c>
      <c r="J4" s="9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2" t="s">
        <v>231</v>
      </c>
      <c r="B5" s="302"/>
      <c r="C5" s="26">
        <v>6.04</v>
      </c>
      <c r="D5" s="303" t="s">
        <v>229</v>
      </c>
      <c r="E5" s="304"/>
      <c r="F5" s="95"/>
      <c r="G5" s="236"/>
      <c r="H5" s="237"/>
      <c r="I5" s="237"/>
      <c r="J5" s="24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6"/>
      <c r="B6" s="96"/>
      <c r="C6" s="97"/>
      <c r="D6" s="91"/>
      <c r="E6" s="91"/>
      <c r="F6" s="29"/>
      <c r="G6" s="238"/>
      <c r="H6" s="239"/>
      <c r="I6" s="239"/>
      <c r="J6" s="246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</row>
    <row r="7" spans="1:38" ht="25.8" x14ac:dyDescent="0.3">
      <c r="A7" s="300" t="s">
        <v>226</v>
      </c>
      <c r="B7" s="300"/>
      <c r="C7" s="95"/>
      <c r="D7" s="95"/>
      <c r="E7" s="5"/>
      <c r="F7" s="95"/>
      <c r="G7" s="236"/>
      <c r="H7" s="237"/>
      <c r="I7" s="237"/>
      <c r="J7" s="24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1"/>
      <c r="J8" s="24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90</v>
      </c>
      <c r="C9" s="35">
        <v>0.17879999999999999</v>
      </c>
      <c r="D9" s="36">
        <f t="shared" ref="D9:D18" si="0">C9*$C$5</f>
        <v>1.079952</v>
      </c>
      <c r="E9" s="37">
        <v>89</v>
      </c>
      <c r="F9" s="38" t="str">
        <f t="array" ref="F9">IF(E9="","",IF(INDEX(A:A,MAX(IF(ISNUMBER($A$36:$A$55),ROW($A$36:$A$55),"")))&lt;&gt;E9,"Corrigez : révolution incorrecte","OK"))</f>
        <v>OK</v>
      </c>
      <c r="G9" s="256" t="s">
        <v>306</v>
      </c>
      <c r="I9" s="252"/>
      <c r="J9" s="24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17</v>
      </c>
      <c r="C10" s="35">
        <v>0.17150000000000001</v>
      </c>
      <c r="D10" s="36">
        <f t="shared" si="0"/>
        <v>1.03586</v>
      </c>
      <c r="E10" s="37">
        <v>100</v>
      </c>
      <c r="F10" s="38" t="str">
        <f t="array" ref="F10">IF(E10="","",IF(INDEX(A:A,MAX(IF(ISNUMBER($A$62:$A$81),ROW($A$62:$A$81),"")))&lt;&gt;E10,"Corrigez : révolution incorrecte","OK"))</f>
        <v>OK</v>
      </c>
      <c r="I10" s="252"/>
      <c r="J10" s="24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39</v>
      </c>
      <c r="C11" s="35">
        <v>0.1341</v>
      </c>
      <c r="D11" s="36">
        <f t="shared" si="0"/>
        <v>0.80996400000000002</v>
      </c>
      <c r="E11" s="37">
        <v>150</v>
      </c>
      <c r="F11" s="38" t="str">
        <f t="array" ref="F11">IF(E11="","",IF(INDEX(A:A,MAX(IF(ISNUMBER($A$88:$A$107),ROW($A$88:$A$107),"")))&lt;&gt;E11,"Corrigez : révolution incorrecte","OK"))</f>
        <v>OK</v>
      </c>
      <c r="H11" s="229"/>
      <c r="I11" s="252"/>
      <c r="J11" s="24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52</v>
      </c>
      <c r="C12" s="35">
        <f>10.53%+7.85%+2.32%</f>
        <v>0.20699999999999999</v>
      </c>
      <c r="D12" s="36">
        <f t="shared" si="0"/>
        <v>1.2502799999999998</v>
      </c>
      <c r="E12" s="37">
        <v>130</v>
      </c>
      <c r="F12" s="38" t="str">
        <f t="array" ref="F12">IF(E12="","",IF(INDEX(A:A,MAX(IF(ISNUMBER($A$114:$A$133),ROW($A$114:$A$133),"")))&lt;&gt;E12,"Corrigez : révolution incorrecte","OK"))</f>
        <v>OK</v>
      </c>
      <c r="H12" s="229"/>
      <c r="I12" s="252"/>
      <c r="J12" s="24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21</v>
      </c>
      <c r="C13" s="35">
        <f>6.06%+2.32%</f>
        <v>8.3799999999999986E-2</v>
      </c>
      <c r="D13" s="36">
        <f t="shared" si="0"/>
        <v>0.50615199999999994</v>
      </c>
      <c r="E13" s="37">
        <v>80</v>
      </c>
      <c r="F13" s="38" t="str">
        <f t="array" ref="F13">IF(E13="","",IF(INDEX(A:A,MAX(IF(ISNUMBER($A$140:$A$159),ROW($A$140:$A$159),"")))&lt;&gt;E13,"Corrigez : révolution incorrecte","OK"))</f>
        <v>OK</v>
      </c>
      <c r="H13" s="229"/>
      <c r="I13" s="252"/>
      <c r="J13" s="24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 t="s">
        <v>9</v>
      </c>
      <c r="C14" s="35">
        <v>5.5300000000000002E-2</v>
      </c>
      <c r="D14" s="36">
        <f t="shared" si="0"/>
        <v>0.33401200000000003</v>
      </c>
      <c r="E14" s="37">
        <v>130</v>
      </c>
      <c r="F14" s="38" t="str">
        <f t="array" ref="F14">IF(E14="","",IF(INDEX(A:A,MAX(IF(ISNUMBER($A$166:$A$185),ROW($A$166:$A$185),"")))&lt;&gt;E14,"Corrigez : révolution incorrecte","OK"))</f>
        <v>OK</v>
      </c>
      <c r="H14" s="229"/>
      <c r="I14" s="252"/>
      <c r="J14" s="24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 t="s">
        <v>164</v>
      </c>
      <c r="C15" s="35">
        <v>5.3600000000000002E-2</v>
      </c>
      <c r="D15" s="36">
        <f t="shared" si="0"/>
        <v>0.32374400000000003</v>
      </c>
      <c r="E15" s="37">
        <v>109</v>
      </c>
      <c r="F15" s="38" t="str">
        <f t="array" ref="F15">IF(E15="","",IF(INDEX(A:A,MAX(IF(ISNUMBER($A$192:$A$211),ROW($A$192:$A$211),"")))&lt;&gt;E15,"Corrigez : révolution incorrecte","OK"))</f>
        <v>OK</v>
      </c>
      <c r="H15" s="229"/>
      <c r="I15" s="252"/>
      <c r="J15" s="24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 t="s">
        <v>98</v>
      </c>
      <c r="C16" s="35">
        <v>3.3799999999999997E-2</v>
      </c>
      <c r="D16" s="36">
        <f t="shared" si="0"/>
        <v>0.20415199999999997</v>
      </c>
      <c r="E16" s="37">
        <v>90</v>
      </c>
      <c r="F16" s="38" t="str">
        <f t="array" ref="F16">IF(E16="","",IF(INDEX(A:A,MAX(IF(ISNUMBER($A$218:$A$237),ROW($A$218:$A$237),"")))&lt;&gt;E16,"Corrigez : révolution incorrecte","OK"))</f>
        <v>OK</v>
      </c>
      <c r="H16" s="229"/>
      <c r="I16" s="252"/>
      <c r="J16" s="24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 t="s">
        <v>40</v>
      </c>
      <c r="C17" s="35">
        <v>2.6800000000000001E-2</v>
      </c>
      <c r="D17" s="36">
        <f t="shared" si="0"/>
        <v>0.16187200000000002</v>
      </c>
      <c r="E17" s="37">
        <v>91</v>
      </c>
      <c r="F17" s="38" t="str">
        <f t="array" ref="F17">IF(E17="","",IF(INDEX(A:A,MAX(IF(ISNUMBER($A$244:$A$263),ROW($A$244:$A$263),"")))&lt;&gt;E17,"Corrigez : révolution incorrecte","OK"))</f>
        <v>OK</v>
      </c>
      <c r="H17" s="229"/>
      <c r="I17" s="252"/>
      <c r="J17" s="24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 t="s">
        <v>50</v>
      </c>
      <c r="C18" s="35">
        <v>2.3199999999999998E-2</v>
      </c>
      <c r="D18" s="36">
        <f t="shared" si="0"/>
        <v>0.140128</v>
      </c>
      <c r="E18" s="37">
        <v>110</v>
      </c>
      <c r="F18" s="38" t="str">
        <f t="array" ref="F18">IF(E18="","",IF(INDEX(A:A,MAX(IF(ISNUMBER($A$270:$A$289),ROW($A$270:$A$289),"")))&lt;&gt;E18,"Corrigez : révolution incorrecte","OK"))</f>
        <v>OK</v>
      </c>
      <c r="H18" s="229"/>
      <c r="I18" s="252"/>
      <c r="J18" s="24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98"/>
      <c r="B19" s="39" t="s">
        <v>175</v>
      </c>
      <c r="C19" s="40">
        <f>SUM(C9:C18)</f>
        <v>0.96789999999999998</v>
      </c>
      <c r="D19" s="41">
        <f>SUM(D9:D18)</f>
        <v>5.8461159999999994</v>
      </c>
      <c r="E19" s="5"/>
      <c r="F19" s="99"/>
      <c r="G19" s="240"/>
      <c r="H19" s="241"/>
      <c r="I19" s="240"/>
      <c r="J19" s="24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98"/>
      <c r="B20" s="42" t="s">
        <v>230</v>
      </c>
      <c r="C20" s="43" t="str">
        <f>IF(C19&gt;100%,"Erreur : corrigez","OK")</f>
        <v>OK</v>
      </c>
      <c r="D20" s="247"/>
      <c r="F20" s="239"/>
      <c r="G20" s="239"/>
      <c r="H20" s="241"/>
      <c r="I20" s="240"/>
      <c r="J20" s="24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2"/>
      <c r="I21" s="253"/>
      <c r="J21" s="24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299" t="s">
        <v>232</v>
      </c>
      <c r="B22" s="299"/>
      <c r="C22" s="97"/>
      <c r="H22" s="228"/>
      <c r="I22" s="246"/>
      <c r="J22" s="246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</row>
    <row r="23" spans="1:45" x14ac:dyDescent="0.3">
      <c r="A23" s="5"/>
      <c r="B23" s="5"/>
      <c r="C23" s="5"/>
      <c r="H23" s="219"/>
      <c r="I23" s="245"/>
      <c r="J23" s="24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0"/>
      <c r="F24" s="100"/>
      <c r="G24" s="243"/>
      <c r="H24" s="229"/>
      <c r="I24" s="243"/>
      <c r="J24" s="244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1"/>
      <c r="E25" s="5"/>
      <c r="F25" s="101"/>
      <c r="G25" s="244"/>
      <c r="H25" s="229"/>
      <c r="I25" s="244"/>
      <c r="J25" s="24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0.15</v>
      </c>
      <c r="D26" s="47" t="s">
        <v>234</v>
      </c>
      <c r="E26" s="100"/>
      <c r="F26" s="100"/>
      <c r="G26" s="243"/>
      <c r="I26" s="243"/>
      <c r="J26" s="243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0"/>
      <c r="F27" s="100"/>
      <c r="G27" s="243"/>
      <c r="I27" s="243"/>
      <c r="J27" s="243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5"/>
      <c r="I28" s="245"/>
      <c r="J28" s="24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5"/>
      <c r="I29" s="245"/>
      <c r="J29" s="24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1" t="s">
        <v>227</v>
      </c>
      <c r="B30" s="301"/>
      <c r="D30" s="248"/>
      <c r="H30" s="246"/>
      <c r="I30" s="246"/>
      <c r="J30" s="246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</row>
    <row r="31" spans="1:45" x14ac:dyDescent="0.3">
      <c r="A31" s="5"/>
      <c r="B31" s="5"/>
      <c r="H31" s="245"/>
      <c r="I31" s="245"/>
      <c r="J31" s="245"/>
      <c r="K31" s="248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Pin d'Alep</v>
      </c>
      <c r="D32" s="257" t="s">
        <v>307</v>
      </c>
      <c r="K32" s="248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48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0" t="s">
        <v>185</v>
      </c>
      <c r="C34" s="292" t="s">
        <v>186</v>
      </c>
      <c r="D34" s="292"/>
      <c r="E34" s="293" t="s">
        <v>187</v>
      </c>
      <c r="F34" s="294"/>
      <c r="G34" s="294"/>
      <c r="H34" s="295"/>
      <c r="I34" s="102"/>
      <c r="J34" s="249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0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15</v>
      </c>
      <c r="B36" s="63">
        <f>27.35/1.3</f>
        <v>21.03846153846154</v>
      </c>
      <c r="C36" s="63"/>
      <c r="D36" s="63"/>
      <c r="E36" s="54"/>
      <c r="F36" s="54"/>
      <c r="G36" s="54"/>
      <c r="H36" s="54"/>
      <c r="I36" s="52">
        <f>IFERROR(B36/A36,"")</f>
        <v>1.4025641025641027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20</v>
      </c>
      <c r="B37" s="63">
        <f>47.03/1.3</f>
        <v>36.176923076923075</v>
      </c>
      <c r="C37" s="63"/>
      <c r="D37" s="63"/>
      <c r="E37" s="54"/>
      <c r="F37" s="54"/>
      <c r="G37" s="54"/>
      <c r="H37" s="54"/>
      <c r="I37" s="56">
        <f t="shared" ref="I37:I55" si="1">IF(A37&lt;&gt;0,(B37-(B36-D36))/(A37-A36),"")</f>
        <v>3.0276923076923068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25</v>
      </c>
      <c r="B38" s="63">
        <f>76.1/1.3</f>
        <v>58.538461538461533</v>
      </c>
      <c r="C38" s="63"/>
      <c r="D38" s="63"/>
      <c r="E38" s="54"/>
      <c r="F38" s="54"/>
      <c r="G38" s="54"/>
      <c r="H38" s="54"/>
      <c r="I38" s="56">
        <f t="shared" si="1"/>
        <v>4.4723076923076919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30</v>
      </c>
      <c r="B39" s="63">
        <f>112.67/1.3</f>
        <v>86.669230769230765</v>
      </c>
      <c r="C39" s="63"/>
      <c r="D39" s="63"/>
      <c r="E39" s="54"/>
      <c r="F39" s="54"/>
      <c r="G39" s="54"/>
      <c r="H39" s="54"/>
      <c r="I39" s="52">
        <f t="shared" si="1"/>
        <v>5.6261538461538461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36</v>
      </c>
      <c r="B40" s="63">
        <f>163.63/1.3</f>
        <v>125.86923076923077</v>
      </c>
      <c r="C40" s="63">
        <v>1</v>
      </c>
      <c r="D40" s="63">
        <f>45.36/1.3</f>
        <v>34.892307692307689</v>
      </c>
      <c r="E40" s="54"/>
      <c r="F40" s="54"/>
      <c r="G40" s="54"/>
      <c r="H40" s="54"/>
      <c r="I40" s="52">
        <f t="shared" si="1"/>
        <v>6.5333333333333341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44</v>
      </c>
      <c r="B41" s="63">
        <f>180.21/1.3</f>
        <v>138.62307692307692</v>
      </c>
      <c r="C41" s="63"/>
      <c r="D41" s="63"/>
      <c r="E41" s="54"/>
      <c r="F41" s="54"/>
      <c r="G41" s="54"/>
      <c r="H41" s="54"/>
      <c r="I41" s="56">
        <f t="shared" si="1"/>
        <v>5.9557692307692314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63">
        <v>52</v>
      </c>
      <c r="B42" s="63">
        <f>247.56/1.3</f>
        <v>190.43076923076922</v>
      </c>
      <c r="C42" s="63">
        <v>2</v>
      </c>
      <c r="D42" s="63">
        <f>100.24/1.3</f>
        <v>77.107692307692304</v>
      </c>
      <c r="E42" s="54"/>
      <c r="F42" s="54"/>
      <c r="G42" s="54"/>
      <c r="H42" s="54"/>
      <c r="I42" s="56">
        <f t="shared" si="1"/>
        <v>6.4759615384615365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63">
        <v>59</v>
      </c>
      <c r="B43" s="63">
        <f>192.41/1.3</f>
        <v>148.00769230769231</v>
      </c>
      <c r="C43" s="63"/>
      <c r="D43" s="63"/>
      <c r="E43" s="54"/>
      <c r="F43" s="54"/>
      <c r="G43" s="54"/>
      <c r="H43" s="54"/>
      <c r="I43" s="52">
        <f t="shared" si="1"/>
        <v>4.9549450549450569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63">
        <v>66</v>
      </c>
      <c r="B44" s="63">
        <f>239.72/1.3</f>
        <v>184.4</v>
      </c>
      <c r="C44" s="63"/>
      <c r="D44" s="63"/>
      <c r="E44" s="54"/>
      <c r="F44" s="54"/>
      <c r="G44" s="54"/>
      <c r="H44" s="54"/>
      <c r="I44" s="52">
        <f t="shared" si="1"/>
        <v>5.1989010989010991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63">
        <v>74</v>
      </c>
      <c r="B45" s="63">
        <f>295.65/1.3</f>
        <v>227.42307692307691</v>
      </c>
      <c r="C45" s="63">
        <v>3</v>
      </c>
      <c r="D45" s="63">
        <f>149.39/1.3</f>
        <v>114.9153846153846</v>
      </c>
      <c r="E45" s="54"/>
      <c r="F45" s="54"/>
      <c r="G45" s="54"/>
      <c r="H45" s="54"/>
      <c r="I45" s="52">
        <f t="shared" si="1"/>
        <v>5.3778846153846125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63">
        <v>82</v>
      </c>
      <c r="B46" s="63">
        <f>183.15/1.3</f>
        <v>140.88461538461539</v>
      </c>
      <c r="C46" s="63"/>
      <c r="D46" s="63"/>
      <c r="E46" s="54"/>
      <c r="F46" s="54"/>
      <c r="G46" s="54"/>
      <c r="H46" s="54"/>
      <c r="I46" s="52">
        <f t="shared" si="1"/>
        <v>3.5471153846153847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63">
        <v>89</v>
      </c>
      <c r="B47" s="63">
        <f>216.67/1.3</f>
        <v>166.66923076923075</v>
      </c>
      <c r="C47" s="63">
        <v>4</v>
      </c>
      <c r="D47" s="63">
        <f>B47</f>
        <v>166.66923076923075</v>
      </c>
      <c r="E47" s="54"/>
      <c r="F47" s="54"/>
      <c r="G47" s="54"/>
      <c r="H47" s="54"/>
      <c r="I47" s="52">
        <f t="shared" si="1"/>
        <v>3.6835164835164806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1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1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1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1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1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1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1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1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Cyprès de Provence</v>
      </c>
      <c r="D58" s="257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3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0" t="s">
        <v>185</v>
      </c>
      <c r="C60" s="292" t="s">
        <v>186</v>
      </c>
      <c r="D60" s="292"/>
      <c r="E60" s="293" t="s">
        <v>187</v>
      </c>
      <c r="F60" s="294"/>
      <c r="G60" s="294"/>
      <c r="H60" s="295"/>
      <c r="I60" s="102"/>
      <c r="J60" s="249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0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15</v>
      </c>
      <c r="B62" s="63">
        <v>60.8</v>
      </c>
      <c r="C62" s="63"/>
      <c r="D62" s="63"/>
      <c r="E62" s="54"/>
      <c r="F62" s="54"/>
      <c r="G62" s="54"/>
      <c r="H62" s="54"/>
      <c r="I62" s="56">
        <f>IFERROR(B62/A62,"")</f>
        <v>4.0533333333333328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20</v>
      </c>
      <c r="B63" s="63">
        <v>85.7</v>
      </c>
      <c r="C63" s="63"/>
      <c r="D63" s="63"/>
      <c r="E63" s="54"/>
      <c r="F63" s="54"/>
      <c r="G63" s="54"/>
      <c r="H63" s="54"/>
      <c r="I63" s="52">
        <f>IF(A63&lt;&gt;0,(B63-(B62-D62))/(A63-A62),"")</f>
        <v>4.9800000000000013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25</v>
      </c>
      <c r="B64" s="63">
        <v>109.4</v>
      </c>
      <c r="C64" s="63"/>
      <c r="D64" s="63"/>
      <c r="E64" s="54"/>
      <c r="F64" s="54"/>
      <c r="G64" s="54"/>
      <c r="H64" s="54"/>
      <c r="I64" s="52">
        <f>IF(A64&lt;&gt;0,(B64-(B63-D63))/(A64-A63),"")</f>
        <v>4.74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30</v>
      </c>
      <c r="B65" s="63">
        <v>131.80000000000001</v>
      </c>
      <c r="C65" s="63"/>
      <c r="D65" s="63"/>
      <c r="E65" s="54"/>
      <c r="F65" s="54"/>
      <c r="G65" s="54"/>
      <c r="H65" s="54"/>
      <c r="I65" s="52">
        <f>IF(A65&lt;&gt;0,(B65-(B64-D64))/(A65-A64),"")</f>
        <v>4.4800000000000013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35</v>
      </c>
      <c r="B66" s="63">
        <v>153</v>
      </c>
      <c r="C66" s="63"/>
      <c r="D66" s="63"/>
      <c r="E66" s="54"/>
      <c r="F66" s="54"/>
      <c r="G66" s="54"/>
      <c r="H66" s="54"/>
      <c r="I66" s="52">
        <f t="shared" ref="I66:I81" si="2">IF(A66&lt;&gt;0,(B66-(B65-D65))/(A66-A65),"")</f>
        <v>4.2399999999999975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40</v>
      </c>
      <c r="B67" s="63">
        <v>173</v>
      </c>
      <c r="C67" s="63"/>
      <c r="D67" s="63"/>
      <c r="E67" s="54"/>
      <c r="F67" s="54"/>
      <c r="G67" s="54"/>
      <c r="H67" s="54"/>
      <c r="I67" s="52">
        <f t="shared" si="2"/>
        <v>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45</v>
      </c>
      <c r="B68" s="63">
        <v>191.7</v>
      </c>
      <c r="C68" s="63"/>
      <c r="D68" s="63"/>
      <c r="E68" s="54"/>
      <c r="F68" s="54"/>
      <c r="G68" s="54"/>
      <c r="H68" s="54"/>
      <c r="I68" s="52">
        <f t="shared" si="2"/>
        <v>3.7399999999999975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50</v>
      </c>
      <c r="B69" s="53">
        <v>209.2</v>
      </c>
      <c r="C69" s="53"/>
      <c r="D69" s="53"/>
      <c r="E69" s="54"/>
      <c r="F69" s="54"/>
      <c r="G69" s="54"/>
      <c r="H69" s="54"/>
      <c r="I69" s="52">
        <f t="shared" si="2"/>
        <v>3.5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55</v>
      </c>
      <c r="B70" s="53">
        <v>225.5</v>
      </c>
      <c r="C70" s="53"/>
      <c r="D70" s="53"/>
      <c r="E70" s="54"/>
      <c r="F70" s="54"/>
      <c r="G70" s="54"/>
      <c r="H70" s="54"/>
      <c r="I70" s="52">
        <f t="shared" si="2"/>
        <v>3.2600000000000025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60</v>
      </c>
      <c r="B71" s="53">
        <v>240.5</v>
      </c>
      <c r="C71" s="53"/>
      <c r="D71" s="53"/>
      <c r="E71" s="54"/>
      <c r="F71" s="54"/>
      <c r="G71" s="54"/>
      <c r="H71" s="54"/>
      <c r="I71" s="52">
        <f t="shared" si="2"/>
        <v>3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65</v>
      </c>
      <c r="B72" s="53">
        <v>254.3</v>
      </c>
      <c r="C72" s="53"/>
      <c r="D72" s="53"/>
      <c r="E72" s="54"/>
      <c r="F72" s="54"/>
      <c r="G72" s="54"/>
      <c r="H72" s="54"/>
      <c r="I72" s="52">
        <f t="shared" si="2"/>
        <v>2.7600000000000025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>
        <v>70</v>
      </c>
      <c r="B73" s="53">
        <v>266.89999999999998</v>
      </c>
      <c r="C73" s="53"/>
      <c r="D73" s="53"/>
      <c r="E73" s="54"/>
      <c r="F73" s="54"/>
      <c r="G73" s="54"/>
      <c r="H73" s="54"/>
      <c r="I73" s="52">
        <f t="shared" si="2"/>
        <v>2.5199999999999934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>
        <v>75</v>
      </c>
      <c r="B74" s="53">
        <v>278.2</v>
      </c>
      <c r="C74" s="53"/>
      <c r="D74" s="53"/>
      <c r="E74" s="54"/>
      <c r="F74" s="54"/>
      <c r="G74" s="54"/>
      <c r="H74" s="54"/>
      <c r="I74" s="52">
        <f t="shared" si="2"/>
        <v>2.2600000000000025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>
        <v>80</v>
      </c>
      <c r="B75" s="53">
        <v>288.3</v>
      </c>
      <c r="C75" s="53"/>
      <c r="D75" s="53"/>
      <c r="E75" s="54"/>
      <c r="F75" s="54"/>
      <c r="G75" s="54"/>
      <c r="H75" s="54"/>
      <c r="I75" s="52">
        <f t="shared" si="2"/>
        <v>2.0200000000000045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>
        <v>85</v>
      </c>
      <c r="B76" s="53">
        <v>297.2</v>
      </c>
      <c r="C76" s="53"/>
      <c r="D76" s="53"/>
      <c r="E76" s="54"/>
      <c r="F76" s="54"/>
      <c r="G76" s="54"/>
      <c r="H76" s="54"/>
      <c r="I76" s="52">
        <f t="shared" si="2"/>
        <v>1.7799999999999954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>
        <v>90</v>
      </c>
      <c r="B77" s="53">
        <v>304.89999999999998</v>
      </c>
      <c r="C77" s="53"/>
      <c r="D77" s="53"/>
      <c r="E77" s="54"/>
      <c r="F77" s="54"/>
      <c r="G77" s="54"/>
      <c r="H77" s="54"/>
      <c r="I77" s="52">
        <f t="shared" si="2"/>
        <v>1.5399999999999978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>
        <v>95</v>
      </c>
      <c r="B78" s="53">
        <v>311.3</v>
      </c>
      <c r="C78" s="53"/>
      <c r="D78" s="53"/>
      <c r="E78" s="54"/>
      <c r="F78" s="54"/>
      <c r="G78" s="54"/>
      <c r="H78" s="54"/>
      <c r="I78" s="52">
        <f t="shared" si="2"/>
        <v>1.2800000000000069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>
        <v>100</v>
      </c>
      <c r="B79" s="53">
        <v>316.5</v>
      </c>
      <c r="C79" s="53">
        <v>1</v>
      </c>
      <c r="D79" s="53">
        <f>B79</f>
        <v>316.5</v>
      </c>
      <c r="E79" s="54"/>
      <c r="F79" s="54"/>
      <c r="G79" s="54"/>
      <c r="H79" s="54"/>
      <c r="I79" s="52">
        <f t="shared" si="2"/>
        <v>1.0399999999999978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Pin pignon</v>
      </c>
      <c r="D84" s="257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3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0" t="s">
        <v>185</v>
      </c>
      <c r="C86" s="292" t="s">
        <v>186</v>
      </c>
      <c r="D86" s="292"/>
      <c r="E86" s="293" t="s">
        <v>187</v>
      </c>
      <c r="F86" s="294"/>
      <c r="G86" s="294"/>
      <c r="H86" s="295"/>
      <c r="I86" s="102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10</v>
      </c>
      <c r="B88" s="63">
        <f>36.82/2.4</f>
        <v>15.341666666666667</v>
      </c>
      <c r="C88" s="63"/>
      <c r="D88" s="63"/>
      <c r="E88" s="54"/>
      <c r="F88" s="54"/>
      <c r="G88" s="54"/>
      <c r="H88" s="54"/>
      <c r="I88" s="56">
        <f>IFERROR(B88/A88,"")</f>
        <v>1.5341666666666667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20</v>
      </c>
      <c r="B89" s="63">
        <f>(79.16+4.6)/2.4</f>
        <v>34.9</v>
      </c>
      <c r="C89" s="63"/>
      <c r="D89" s="63"/>
      <c r="E89" s="54"/>
      <c r="F89" s="54"/>
      <c r="G89" s="54"/>
      <c r="H89" s="54"/>
      <c r="I89" s="56">
        <f t="shared" ref="I89:I107" si="3">IF(A89&lt;&gt;0,(B89-(B88-D88))/(A89-A88),"")</f>
        <v>1.9558333333333331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30</v>
      </c>
      <c r="B90" s="63">
        <f>(117.39+4.6+9.5)/2.4</f>
        <v>54.787500000000009</v>
      </c>
      <c r="C90" s="63">
        <v>1</v>
      </c>
      <c r="D90" s="63">
        <f>(4.6+9.5+13.2)/2.4</f>
        <v>11.375</v>
      </c>
      <c r="E90" s="54"/>
      <c r="F90" s="54"/>
      <c r="G90" s="54"/>
      <c r="H90" s="54">
        <v>1</v>
      </c>
      <c r="I90" s="56">
        <f t="shared" si="3"/>
        <v>1.9887500000000009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40</v>
      </c>
      <c r="B91" s="63">
        <f>150.4/2.4</f>
        <v>62.666666666666671</v>
      </c>
      <c r="C91" s="63">
        <v>2</v>
      </c>
      <c r="D91" s="63">
        <f>16.8/2.4</f>
        <v>7.0000000000000009</v>
      </c>
      <c r="E91" s="54"/>
      <c r="F91" s="54"/>
      <c r="G91" s="54"/>
      <c r="H91" s="54"/>
      <c r="I91" s="56">
        <f t="shared" si="3"/>
        <v>1.9254166666666663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50</v>
      </c>
      <c r="B92" s="63">
        <f>178.53/2.4</f>
        <v>74.387500000000003</v>
      </c>
      <c r="C92" s="63">
        <v>3</v>
      </c>
      <c r="D92" s="63">
        <f>18.6/2.4</f>
        <v>7.7500000000000009</v>
      </c>
      <c r="E92" s="54"/>
      <c r="F92" s="54"/>
      <c r="G92" s="54"/>
      <c r="H92" s="54"/>
      <c r="I92" s="56">
        <f t="shared" si="3"/>
        <v>1.8720833333333331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60</v>
      </c>
      <c r="B93" s="63">
        <f>202.47/2.4</f>
        <v>84.362499999999997</v>
      </c>
      <c r="C93" s="63">
        <v>4</v>
      </c>
      <c r="D93" s="63">
        <f>19.8/2.4</f>
        <v>8.25</v>
      </c>
      <c r="E93" s="54"/>
      <c r="F93" s="54"/>
      <c r="G93" s="54"/>
      <c r="H93" s="54"/>
      <c r="I93" s="56">
        <f t="shared" si="3"/>
        <v>1.7724999999999995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70</v>
      </c>
      <c r="B94" s="63">
        <f>222.87/2.4</f>
        <v>92.862500000000011</v>
      </c>
      <c r="C94" s="63">
        <v>5</v>
      </c>
      <c r="D94" s="63">
        <f>20.4/2.4</f>
        <v>8.5</v>
      </c>
      <c r="E94" s="54"/>
      <c r="F94" s="54"/>
      <c r="G94" s="54"/>
      <c r="H94" s="54"/>
      <c r="I94" s="56">
        <f t="shared" si="3"/>
        <v>1.6750000000000014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53">
        <v>80</v>
      </c>
      <c r="B95" s="53">
        <v>100.14583333333333</v>
      </c>
      <c r="C95" s="53">
        <v>6</v>
      </c>
      <c r="D95" s="53">
        <v>9.1666666666666679</v>
      </c>
      <c r="E95" s="54"/>
      <c r="F95" s="54"/>
      <c r="G95" s="54"/>
      <c r="H95" s="54"/>
      <c r="I95" s="56">
        <f t="shared" si="3"/>
        <v>1.5783333333333318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53">
        <v>90</v>
      </c>
      <c r="B96" s="53">
        <v>106.40833333333333</v>
      </c>
      <c r="C96" s="53">
        <v>7</v>
      </c>
      <c r="D96" s="53">
        <v>9.1666666666666679</v>
      </c>
      <c r="E96" s="54"/>
      <c r="F96" s="54"/>
      <c r="G96" s="54"/>
      <c r="H96" s="54"/>
      <c r="I96" s="56">
        <f t="shared" si="3"/>
        <v>1.5429166666666674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53">
        <v>100</v>
      </c>
      <c r="B97" s="53">
        <v>111.825</v>
      </c>
      <c r="C97" s="53">
        <v>8</v>
      </c>
      <c r="D97" s="53">
        <v>9.125</v>
      </c>
      <c r="E97" s="54"/>
      <c r="F97" s="54"/>
      <c r="G97" s="54"/>
      <c r="H97" s="54"/>
      <c r="I97" s="56">
        <f t="shared" si="3"/>
        <v>1.4583333333333344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53">
        <v>110</v>
      </c>
      <c r="B98" s="53">
        <v>116.53333333333335</v>
      </c>
      <c r="C98" s="53">
        <v>9</v>
      </c>
      <c r="D98" s="53">
        <v>9.0416666666666661</v>
      </c>
      <c r="E98" s="54"/>
      <c r="F98" s="54"/>
      <c r="G98" s="54"/>
      <c r="H98" s="54"/>
      <c r="I98" s="56">
        <f t="shared" si="3"/>
        <v>1.3833333333333342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53">
        <v>120</v>
      </c>
      <c r="B99" s="53">
        <v>120.64166666666668</v>
      </c>
      <c r="C99" s="53">
        <v>10</v>
      </c>
      <c r="D99" s="53">
        <v>8.875</v>
      </c>
      <c r="E99" s="54"/>
      <c r="F99" s="54"/>
      <c r="G99" s="54"/>
      <c r="H99" s="54"/>
      <c r="I99" s="56">
        <f t="shared" si="3"/>
        <v>1.3150000000000006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53">
        <v>130</v>
      </c>
      <c r="B100" s="53">
        <v>124.24166666666667</v>
      </c>
      <c r="C100" s="53">
        <v>11</v>
      </c>
      <c r="D100" s="53">
        <v>8.7083333333333339</v>
      </c>
      <c r="E100" s="54"/>
      <c r="F100" s="54"/>
      <c r="G100" s="54"/>
      <c r="H100" s="54"/>
      <c r="I100" s="56">
        <f t="shared" si="3"/>
        <v>1.2474999999999994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53">
        <v>140</v>
      </c>
      <c r="B101" s="53">
        <v>127.41250000000001</v>
      </c>
      <c r="C101" s="53">
        <v>12</v>
      </c>
      <c r="D101" s="53">
        <v>8.5416666666666679</v>
      </c>
      <c r="E101" s="54"/>
      <c r="F101" s="54"/>
      <c r="G101" s="54"/>
      <c r="H101" s="54"/>
      <c r="I101" s="56">
        <f t="shared" si="3"/>
        <v>1.1879166666666663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53">
        <v>150</v>
      </c>
      <c r="B102" s="53">
        <v>130.21250000000001</v>
      </c>
      <c r="C102" s="53">
        <v>13</v>
      </c>
      <c r="D102" s="53">
        <v>130.21250000000001</v>
      </c>
      <c r="E102" s="54"/>
      <c r="F102" s="54"/>
      <c r="G102" s="54"/>
      <c r="H102" s="54"/>
      <c r="I102" s="56">
        <f t="shared" si="3"/>
        <v>1.1341666666666668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Cormier</v>
      </c>
      <c r="D110" s="257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3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0" t="s">
        <v>185</v>
      </c>
      <c r="C112" s="292" t="s">
        <v>186</v>
      </c>
      <c r="D112" s="292"/>
      <c r="E112" s="293" t="s">
        <v>187</v>
      </c>
      <c r="F112" s="294"/>
      <c r="G112" s="294"/>
      <c r="H112" s="295"/>
      <c r="I112" s="102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20</v>
      </c>
      <c r="B114" s="63">
        <f>57/1.56</f>
        <v>36.53846153846154</v>
      </c>
      <c r="C114" s="53"/>
      <c r="D114" s="63"/>
      <c r="E114" s="66"/>
      <c r="F114" s="66"/>
      <c r="G114" s="66"/>
      <c r="H114" s="66"/>
      <c r="I114" s="56">
        <f>IFERROR(B114/A114,"")</f>
        <v>1.8269230769230771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25</v>
      </c>
      <c r="B115" s="63">
        <f>(87+7)/1.56</f>
        <v>60.256410256410255</v>
      </c>
      <c r="C115" s="53"/>
      <c r="D115" s="63"/>
      <c r="E115" s="66"/>
      <c r="F115" s="66"/>
      <c r="G115" s="66"/>
      <c r="H115" s="66"/>
      <c r="I115" s="56">
        <f t="shared" ref="I115:I133" si="4">IF(A115&lt;&gt;0,(B115-(B114-D114))/(A115-A114),"")</f>
        <v>4.7435897435897427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30</v>
      </c>
      <c r="B116" s="63">
        <f>(117+7+9)/1.56</f>
        <v>85.256410256410248</v>
      </c>
      <c r="C116" s="53">
        <v>1</v>
      </c>
      <c r="D116" s="63">
        <f>(7+9+11)/1.56</f>
        <v>17.307692307692307</v>
      </c>
      <c r="E116" s="66"/>
      <c r="F116" s="66"/>
      <c r="G116" s="66"/>
      <c r="H116" s="66">
        <v>1</v>
      </c>
      <c r="I116" s="56">
        <f t="shared" si="4"/>
        <v>4.9999999999999982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8">
        <v>35</v>
      </c>
      <c r="B117" s="58">
        <v>93.589743589743591</v>
      </c>
      <c r="C117" s="58"/>
      <c r="D117" s="58"/>
      <c r="E117" s="66"/>
      <c r="F117" s="66"/>
      <c r="G117" s="66"/>
      <c r="H117" s="66"/>
      <c r="I117" s="56">
        <f t="shared" si="4"/>
        <v>5.1282051282051295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8">
        <v>40</v>
      </c>
      <c r="B118" s="58">
        <v>119.23076923076923</v>
      </c>
      <c r="C118" s="58">
        <v>2</v>
      </c>
      <c r="D118" s="58">
        <v>17.307692307692307</v>
      </c>
      <c r="E118" s="66"/>
      <c r="F118" s="66"/>
      <c r="G118" s="66"/>
      <c r="H118" s="66"/>
      <c r="I118" s="56">
        <f t="shared" si="4"/>
        <v>5.1282051282051269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8">
        <v>45</v>
      </c>
      <c r="B119" s="58">
        <v>126.28205128205128</v>
      </c>
      <c r="C119" s="58"/>
      <c r="D119" s="58"/>
      <c r="E119" s="66"/>
      <c r="F119" s="66"/>
      <c r="G119" s="66"/>
      <c r="H119" s="66"/>
      <c r="I119" s="56">
        <f t="shared" si="4"/>
        <v>4.8717948717948731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58">
        <v>50</v>
      </c>
      <c r="B120" s="58">
        <v>149.35897435897436</v>
      </c>
      <c r="C120" s="58">
        <v>3</v>
      </c>
      <c r="D120" s="58">
        <v>18.589743589743588</v>
      </c>
      <c r="E120" s="66"/>
      <c r="F120" s="66"/>
      <c r="G120" s="66"/>
      <c r="H120" s="66"/>
      <c r="I120" s="56">
        <f t="shared" si="4"/>
        <v>4.6153846153846159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58">
        <v>55</v>
      </c>
      <c r="B121" s="58">
        <v>153.2051282051282</v>
      </c>
      <c r="C121" s="58"/>
      <c r="D121" s="58"/>
      <c r="E121" s="66"/>
      <c r="F121" s="66"/>
      <c r="G121" s="66"/>
      <c r="H121" s="66"/>
      <c r="I121" s="56">
        <f t="shared" si="4"/>
        <v>4.4871794871794863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58">
        <v>60</v>
      </c>
      <c r="B122" s="58">
        <v>174.35897435897436</v>
      </c>
      <c r="C122" s="58">
        <v>4</v>
      </c>
      <c r="D122" s="58">
        <v>19.23076923076923</v>
      </c>
      <c r="E122" s="66"/>
      <c r="F122" s="66"/>
      <c r="G122" s="66"/>
      <c r="H122" s="66"/>
      <c r="I122" s="56">
        <f t="shared" si="4"/>
        <v>4.2307692307692317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58">
        <v>65</v>
      </c>
      <c r="B123" s="58">
        <v>175</v>
      </c>
      <c r="C123" s="58"/>
      <c r="D123" s="58"/>
      <c r="E123" s="66"/>
      <c r="F123" s="66"/>
      <c r="G123" s="66"/>
      <c r="H123" s="66"/>
      <c r="I123" s="56">
        <f t="shared" si="4"/>
        <v>3.9743589743589722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58">
        <v>70</v>
      </c>
      <c r="B124" s="58">
        <v>194.23076923076923</v>
      </c>
      <c r="C124" s="58">
        <v>5</v>
      </c>
      <c r="D124" s="58">
        <v>18.589743589743588</v>
      </c>
      <c r="E124" s="66"/>
      <c r="F124" s="66"/>
      <c r="G124" s="66"/>
      <c r="H124" s="66"/>
      <c r="I124" s="56">
        <f t="shared" si="4"/>
        <v>3.8461538461538454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58">
        <v>75</v>
      </c>
      <c r="B125" s="58">
        <v>192.94871794871796</v>
      </c>
      <c r="C125" s="58"/>
      <c r="D125" s="58"/>
      <c r="E125" s="66"/>
      <c r="F125" s="66"/>
      <c r="G125" s="66"/>
      <c r="H125" s="66"/>
      <c r="I125" s="56">
        <f t="shared" si="4"/>
        <v>3.4615384615384643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58">
        <v>80</v>
      </c>
      <c r="B126" s="58">
        <v>209.61538461538461</v>
      </c>
      <c r="C126" s="58">
        <v>6</v>
      </c>
      <c r="D126" s="58">
        <v>17.948717948717949</v>
      </c>
      <c r="E126" s="67"/>
      <c r="F126" s="67"/>
      <c r="G126" s="67"/>
      <c r="H126" s="67"/>
      <c r="I126" s="56">
        <f t="shared" si="4"/>
        <v>3.3333333333333313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92">
        <v>85</v>
      </c>
      <c r="B127" s="63">
        <f>324/1.56</f>
        <v>207.69230769230768</v>
      </c>
      <c r="C127" s="92"/>
      <c r="D127" s="63"/>
      <c r="E127" s="57"/>
      <c r="F127" s="57"/>
      <c r="G127" s="57"/>
      <c r="H127" s="57"/>
      <c r="I127" s="56">
        <f t="shared" si="4"/>
        <v>3.2051282051282044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>
        <v>90</v>
      </c>
      <c r="B128" s="53">
        <v>222.43589743589743</v>
      </c>
      <c r="C128" s="53">
        <v>7</v>
      </c>
      <c r="D128" s="53">
        <v>16.666666666666668</v>
      </c>
      <c r="E128" s="57"/>
      <c r="F128" s="57"/>
      <c r="G128" s="57"/>
      <c r="H128" s="57"/>
      <c r="I128" s="56">
        <f t="shared" si="4"/>
        <v>2.9487179487179502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>
        <v>95</v>
      </c>
      <c r="B129" s="53">
        <v>220.5128205128205</v>
      </c>
      <c r="C129" s="53"/>
      <c r="D129" s="53"/>
      <c r="E129" s="57"/>
      <c r="F129" s="57"/>
      <c r="G129" s="57"/>
      <c r="H129" s="57"/>
      <c r="I129" s="56">
        <f t="shared" si="4"/>
        <v>2.9487179487179445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>
        <v>100</v>
      </c>
      <c r="B130" s="53">
        <v>233.97435897435898</v>
      </c>
      <c r="C130" s="53">
        <v>8</v>
      </c>
      <c r="D130" s="53">
        <v>16.025641025641026</v>
      </c>
      <c r="E130" s="57"/>
      <c r="F130" s="57"/>
      <c r="G130" s="57"/>
      <c r="H130" s="57"/>
      <c r="I130" s="56">
        <f t="shared" si="4"/>
        <v>2.6923076923076961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>
        <v>115</v>
      </c>
      <c r="B131" s="53">
        <v>254.48717948717947</v>
      </c>
      <c r="C131" s="53">
        <v>9</v>
      </c>
      <c r="D131" s="53">
        <v>21.153846153846153</v>
      </c>
      <c r="E131" s="57"/>
      <c r="F131" s="57"/>
      <c r="G131" s="57"/>
      <c r="H131" s="57"/>
      <c r="I131" s="56">
        <f t="shared" si="4"/>
        <v>2.4358974358974348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>
        <v>130</v>
      </c>
      <c r="B132" s="53">
        <v>265.38461538461536</v>
      </c>
      <c r="C132" s="53">
        <v>10</v>
      </c>
      <c r="D132" s="53">
        <v>265.38461538461536</v>
      </c>
      <c r="E132" s="57"/>
      <c r="F132" s="57"/>
      <c r="G132" s="57"/>
      <c r="H132" s="57"/>
      <c r="I132" s="56">
        <f t="shared" si="4"/>
        <v>2.1367521367521363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>Erable champêtre</v>
      </c>
      <c r="D136" s="257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3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0" t="s">
        <v>185</v>
      </c>
      <c r="C138" s="292" t="s">
        <v>186</v>
      </c>
      <c r="D138" s="292"/>
      <c r="E138" s="293" t="s">
        <v>187</v>
      </c>
      <c r="F138" s="294"/>
      <c r="G138" s="294"/>
      <c r="H138" s="295"/>
      <c r="I138" s="102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>
        <v>15</v>
      </c>
      <c r="B140" s="63">
        <v>9</v>
      </c>
      <c r="C140" s="53"/>
      <c r="D140" s="63"/>
      <c r="E140" s="66"/>
      <c r="F140" s="66"/>
      <c r="G140" s="66"/>
      <c r="H140" s="66"/>
      <c r="I140" s="60">
        <f>IFERROR(B140/A140,"")</f>
        <v>0.6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>
        <v>20</v>
      </c>
      <c r="B141" s="63">
        <v>57</v>
      </c>
      <c r="C141" s="53"/>
      <c r="D141" s="63"/>
      <c r="E141" s="66"/>
      <c r="F141" s="66"/>
      <c r="G141" s="66"/>
      <c r="H141" s="66"/>
      <c r="I141" s="60">
        <f t="shared" ref="I141:I159" si="5">IF(A141&lt;&gt;0,(B141-(B140-D140))/(A141-A140),"")</f>
        <v>9.6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>
        <v>25</v>
      </c>
      <c r="B142" s="63">
        <f>86+21</f>
        <v>107</v>
      </c>
      <c r="C142" s="53">
        <v>1</v>
      </c>
      <c r="D142" s="63">
        <f>21+21</f>
        <v>42</v>
      </c>
      <c r="E142" s="66"/>
      <c r="F142" s="66"/>
      <c r="G142" s="66"/>
      <c r="H142" s="66">
        <v>1</v>
      </c>
      <c r="I142" s="60">
        <f t="shared" si="5"/>
        <v>10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8">
        <v>30</v>
      </c>
      <c r="B143" s="58">
        <v>114</v>
      </c>
      <c r="C143" s="58"/>
      <c r="D143" s="58"/>
      <c r="E143" s="66"/>
      <c r="F143" s="66"/>
      <c r="G143" s="66"/>
      <c r="H143" s="66"/>
      <c r="I143" s="60">
        <f t="shared" si="5"/>
        <v>9.8000000000000007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8">
        <v>35</v>
      </c>
      <c r="B144" s="58">
        <f>136+21</f>
        <v>157</v>
      </c>
      <c r="C144" s="58">
        <v>2</v>
      </c>
      <c r="D144" s="58">
        <f>21+21</f>
        <v>42</v>
      </c>
      <c r="E144" s="66"/>
      <c r="F144" s="66"/>
      <c r="G144" s="66"/>
      <c r="H144" s="66"/>
      <c r="I144" s="60">
        <f t="shared" si="5"/>
        <v>8.6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8">
        <v>40</v>
      </c>
      <c r="B145" s="58">
        <v>153</v>
      </c>
      <c r="C145" s="58"/>
      <c r="D145" s="58"/>
      <c r="E145" s="66"/>
      <c r="F145" s="66"/>
      <c r="G145" s="66"/>
      <c r="H145" s="66"/>
      <c r="I145" s="60">
        <f t="shared" si="5"/>
        <v>7.6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8">
        <v>45</v>
      </c>
      <c r="B146" s="58">
        <f>165+21</f>
        <v>186</v>
      </c>
      <c r="C146" s="58">
        <v>3</v>
      </c>
      <c r="D146" s="58">
        <f>21+18</f>
        <v>39</v>
      </c>
      <c r="E146" s="66"/>
      <c r="F146" s="66"/>
      <c r="G146" s="66"/>
      <c r="H146" s="66"/>
      <c r="I146" s="60">
        <f t="shared" si="5"/>
        <v>6.6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8">
        <v>50</v>
      </c>
      <c r="B147" s="58">
        <v>174</v>
      </c>
      <c r="C147" s="58"/>
      <c r="D147" s="58"/>
      <c r="E147" s="66"/>
      <c r="F147" s="66"/>
      <c r="G147" s="66"/>
      <c r="H147" s="66"/>
      <c r="I147" s="60">
        <f>IF(A147&lt;&gt;0,(B147-(B146-D146))/(A147-A146),"")</f>
        <v>5.4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8">
        <v>55</v>
      </c>
      <c r="B148" s="58">
        <f>185+13</f>
        <v>198</v>
      </c>
      <c r="C148" s="58">
        <v>4</v>
      </c>
      <c r="D148" s="58">
        <f>13+11</f>
        <v>24</v>
      </c>
      <c r="E148" s="66"/>
      <c r="F148" s="66"/>
      <c r="G148" s="66"/>
      <c r="H148" s="66"/>
      <c r="I148" s="60">
        <f t="shared" si="5"/>
        <v>4.8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8">
        <v>60</v>
      </c>
      <c r="B149" s="58">
        <v>195</v>
      </c>
      <c r="C149" s="58"/>
      <c r="D149" s="58"/>
      <c r="E149" s="66"/>
      <c r="F149" s="66"/>
      <c r="G149" s="66"/>
      <c r="H149" s="66"/>
      <c r="I149" s="60">
        <f t="shared" si="5"/>
        <v>4.2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8">
        <v>65</v>
      </c>
      <c r="B150" s="58">
        <f>202+9</f>
        <v>211</v>
      </c>
      <c r="C150" s="58">
        <v>5</v>
      </c>
      <c r="D150" s="58">
        <f>9+8</f>
        <v>17</v>
      </c>
      <c r="E150" s="66"/>
      <c r="F150" s="66"/>
      <c r="G150" s="66"/>
      <c r="H150" s="66"/>
      <c r="I150" s="60">
        <f t="shared" si="5"/>
        <v>3.2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8">
        <v>70</v>
      </c>
      <c r="B151" s="58">
        <v>209</v>
      </c>
      <c r="C151" s="58"/>
      <c r="D151" s="58"/>
      <c r="E151" s="66"/>
      <c r="F151" s="66"/>
      <c r="G151" s="66"/>
      <c r="H151" s="66"/>
      <c r="I151" s="60">
        <f t="shared" si="5"/>
        <v>3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8">
        <v>75</v>
      </c>
      <c r="B152" s="58">
        <f>214+8</f>
        <v>222</v>
      </c>
      <c r="C152" s="58"/>
      <c r="D152" s="58"/>
      <c r="E152" s="67"/>
      <c r="F152" s="67"/>
      <c r="G152" s="67"/>
      <c r="H152" s="67"/>
      <c r="I152" s="60">
        <f t="shared" si="5"/>
        <v>2.6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92">
        <v>80</v>
      </c>
      <c r="B153" s="63">
        <f>219+8+7</f>
        <v>234</v>
      </c>
      <c r="C153" s="92">
        <v>6</v>
      </c>
      <c r="D153" s="63">
        <f>B153</f>
        <v>234</v>
      </c>
      <c r="E153" s="57"/>
      <c r="F153" s="57"/>
      <c r="G153" s="57"/>
      <c r="H153" s="57"/>
      <c r="I153" s="60">
        <f t="shared" si="5"/>
        <v>2.4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3"/>
      <c r="B154" s="53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3"/>
      <c r="B155" s="53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3"/>
      <c r="B156" s="53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3"/>
      <c r="B157" s="53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3"/>
      <c r="B158" s="53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>Chêne chevelu</v>
      </c>
      <c r="D162" s="257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3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0" t="s">
        <v>185</v>
      </c>
      <c r="C164" s="292" t="s">
        <v>186</v>
      </c>
      <c r="D164" s="292"/>
      <c r="E164" s="293" t="s">
        <v>187</v>
      </c>
      <c r="F164" s="294"/>
      <c r="G164" s="294"/>
      <c r="H164" s="295"/>
      <c r="I164" s="102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>
        <v>20</v>
      </c>
      <c r="B166" s="63">
        <f>57/1.56</f>
        <v>36.53846153846154</v>
      </c>
      <c r="C166" s="53"/>
      <c r="D166" s="63"/>
      <c r="E166" s="66"/>
      <c r="F166" s="66"/>
      <c r="G166" s="66"/>
      <c r="H166" s="66"/>
      <c r="I166" s="52">
        <f>IFERROR(B166/A166,"")</f>
        <v>1.8269230769230771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>
        <v>25</v>
      </c>
      <c r="B167" s="63">
        <f>(87+7)/1.56</f>
        <v>60.256410256410255</v>
      </c>
      <c r="C167" s="53"/>
      <c r="D167" s="63"/>
      <c r="E167" s="66"/>
      <c r="F167" s="66"/>
      <c r="G167" s="66"/>
      <c r="H167" s="66"/>
      <c r="I167" s="52">
        <f t="shared" ref="I167:I185" si="6">IF(A167&lt;&gt;0,(B167-(B166-D166))/(A167-A166),"")</f>
        <v>4.7435897435897427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>
        <v>30</v>
      </c>
      <c r="B168" s="63">
        <f>(117+7+9)/1.56</f>
        <v>85.256410256410248</v>
      </c>
      <c r="C168" s="53">
        <v>1</v>
      </c>
      <c r="D168" s="63">
        <f>(7+9+11)/1.56</f>
        <v>17.307692307692307</v>
      </c>
      <c r="E168" s="66"/>
      <c r="F168" s="66"/>
      <c r="G168" s="66"/>
      <c r="H168" s="66">
        <v>1</v>
      </c>
      <c r="I168" s="52">
        <f t="shared" si="6"/>
        <v>4.9999999999999982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8">
        <v>35</v>
      </c>
      <c r="B169" s="58">
        <v>93.589743589743591</v>
      </c>
      <c r="C169" s="58"/>
      <c r="D169" s="58"/>
      <c r="E169" s="66"/>
      <c r="F169" s="66"/>
      <c r="G169" s="66"/>
      <c r="H169" s="66"/>
      <c r="I169" s="52">
        <f t="shared" si="6"/>
        <v>5.1282051282051295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8">
        <v>40</v>
      </c>
      <c r="B170" s="58">
        <v>119.23076923076923</v>
      </c>
      <c r="C170" s="58">
        <v>2</v>
      </c>
      <c r="D170" s="58">
        <v>17.307692307692307</v>
      </c>
      <c r="E170" s="66"/>
      <c r="F170" s="66"/>
      <c r="G170" s="66"/>
      <c r="H170" s="66"/>
      <c r="I170" s="52">
        <f t="shared" si="6"/>
        <v>5.1282051282051269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8">
        <v>45</v>
      </c>
      <c r="B171" s="58">
        <v>126.28205128205128</v>
      </c>
      <c r="C171" s="58"/>
      <c r="D171" s="58"/>
      <c r="E171" s="66"/>
      <c r="F171" s="66"/>
      <c r="G171" s="66"/>
      <c r="H171" s="66"/>
      <c r="I171" s="52">
        <f t="shared" si="6"/>
        <v>4.8717948717948731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8">
        <v>50</v>
      </c>
      <c r="B172" s="58">
        <v>149.35897435897436</v>
      </c>
      <c r="C172" s="58">
        <v>3</v>
      </c>
      <c r="D172" s="58">
        <v>18.589743589743588</v>
      </c>
      <c r="E172" s="66"/>
      <c r="F172" s="66"/>
      <c r="G172" s="66"/>
      <c r="H172" s="66"/>
      <c r="I172" s="52">
        <f t="shared" si="6"/>
        <v>4.6153846153846159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8">
        <v>55</v>
      </c>
      <c r="B173" s="58">
        <v>153.2051282051282</v>
      </c>
      <c r="C173" s="58"/>
      <c r="D173" s="58"/>
      <c r="E173" s="66"/>
      <c r="F173" s="66"/>
      <c r="G173" s="66"/>
      <c r="H173" s="66"/>
      <c r="I173" s="52">
        <f t="shared" si="6"/>
        <v>4.4871794871794863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8">
        <v>60</v>
      </c>
      <c r="B174" s="58">
        <v>174.35897435897436</v>
      </c>
      <c r="C174" s="58">
        <v>4</v>
      </c>
      <c r="D174" s="58">
        <v>19.23076923076923</v>
      </c>
      <c r="E174" s="66"/>
      <c r="F174" s="66"/>
      <c r="G174" s="66"/>
      <c r="H174" s="66"/>
      <c r="I174" s="52">
        <f t="shared" si="6"/>
        <v>4.2307692307692317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8">
        <v>65</v>
      </c>
      <c r="B175" s="58">
        <v>175</v>
      </c>
      <c r="C175" s="58"/>
      <c r="D175" s="58"/>
      <c r="E175" s="66"/>
      <c r="F175" s="66"/>
      <c r="G175" s="66"/>
      <c r="H175" s="66"/>
      <c r="I175" s="52">
        <f t="shared" si="6"/>
        <v>3.9743589743589722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8">
        <v>70</v>
      </c>
      <c r="B176" s="58">
        <v>194.23076923076923</v>
      </c>
      <c r="C176" s="58">
        <v>5</v>
      </c>
      <c r="D176" s="58">
        <v>18.589743589743588</v>
      </c>
      <c r="E176" s="66"/>
      <c r="F176" s="66"/>
      <c r="G176" s="66"/>
      <c r="H176" s="66"/>
      <c r="I176" s="52">
        <f t="shared" si="6"/>
        <v>3.8461538461538454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8">
        <v>75</v>
      </c>
      <c r="B177" s="58">
        <v>192.94871794871796</v>
      </c>
      <c r="C177" s="58"/>
      <c r="D177" s="58"/>
      <c r="E177" s="66"/>
      <c r="F177" s="66"/>
      <c r="G177" s="66"/>
      <c r="H177" s="66"/>
      <c r="I177" s="52">
        <f t="shared" si="6"/>
        <v>3.4615384615384643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8">
        <v>80</v>
      </c>
      <c r="B178" s="58">
        <v>209.61538461538461</v>
      </c>
      <c r="C178" s="58">
        <v>6</v>
      </c>
      <c r="D178" s="58">
        <v>17.948717948717949</v>
      </c>
      <c r="E178" s="67"/>
      <c r="F178" s="67"/>
      <c r="G178" s="67"/>
      <c r="H178" s="67"/>
      <c r="I178" s="52">
        <f t="shared" si="6"/>
        <v>3.3333333333333313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92">
        <v>85</v>
      </c>
      <c r="B179" s="63">
        <f>324/1.56</f>
        <v>207.69230769230768</v>
      </c>
      <c r="C179" s="92"/>
      <c r="D179" s="63"/>
      <c r="E179" s="57"/>
      <c r="F179" s="57"/>
      <c r="G179" s="57"/>
      <c r="H179" s="57"/>
      <c r="I179" s="52">
        <f t="shared" si="6"/>
        <v>3.2051282051282044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>
        <v>90</v>
      </c>
      <c r="B180" s="53">
        <v>222.43589743589743</v>
      </c>
      <c r="C180" s="53">
        <v>7</v>
      </c>
      <c r="D180" s="53">
        <v>16.666666666666668</v>
      </c>
      <c r="E180" s="57"/>
      <c r="F180" s="57"/>
      <c r="G180" s="57"/>
      <c r="H180" s="57"/>
      <c r="I180" s="52">
        <f t="shared" si="6"/>
        <v>2.9487179487179502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>
        <v>95</v>
      </c>
      <c r="B181" s="53">
        <v>220.5128205128205</v>
      </c>
      <c r="C181" s="53"/>
      <c r="D181" s="53"/>
      <c r="E181" s="57"/>
      <c r="F181" s="57"/>
      <c r="G181" s="57"/>
      <c r="H181" s="57"/>
      <c r="I181" s="52">
        <f t="shared" si="6"/>
        <v>2.9487179487179445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>
        <v>100</v>
      </c>
      <c r="B182" s="53">
        <v>233.97435897435898</v>
      </c>
      <c r="C182" s="53">
        <v>8</v>
      </c>
      <c r="D182" s="53">
        <v>16.025641025641026</v>
      </c>
      <c r="E182" s="57"/>
      <c r="F182" s="57"/>
      <c r="G182" s="57"/>
      <c r="H182" s="57"/>
      <c r="I182" s="52">
        <f t="shared" si="6"/>
        <v>2.6923076923076961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>
        <v>115</v>
      </c>
      <c r="B183" s="53">
        <v>254.48717948717947</v>
      </c>
      <c r="C183" s="53">
        <v>9</v>
      </c>
      <c r="D183" s="53">
        <v>21.153846153846153</v>
      </c>
      <c r="E183" s="57"/>
      <c r="F183" s="57"/>
      <c r="G183" s="57"/>
      <c r="H183" s="57"/>
      <c r="I183" s="52">
        <f t="shared" si="6"/>
        <v>2.4358974358974348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>
        <v>130</v>
      </c>
      <c r="B184" s="53">
        <v>265.38461538461536</v>
      </c>
      <c r="C184" s="53">
        <v>10</v>
      </c>
      <c r="D184" s="53">
        <v>265.38461538461536</v>
      </c>
      <c r="E184" s="57"/>
      <c r="F184" s="57"/>
      <c r="G184" s="57"/>
      <c r="H184" s="57"/>
      <c r="I184" s="52">
        <f t="shared" si="6"/>
        <v>2.1367521367521363</v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>Cèdre de l'Atlas</v>
      </c>
      <c r="D188" s="257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3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0" t="s">
        <v>185</v>
      </c>
      <c r="C190" s="292" t="s">
        <v>186</v>
      </c>
      <c r="D190" s="292"/>
      <c r="E190" s="293" t="s">
        <v>187</v>
      </c>
      <c r="F190" s="294"/>
      <c r="G190" s="294"/>
      <c r="H190" s="295"/>
      <c r="I190" s="102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>
        <v>30</v>
      </c>
      <c r="B192" s="63">
        <f>134.26/1.3</f>
        <v>103.27692307692307</v>
      </c>
      <c r="C192" s="63"/>
      <c r="D192" s="63"/>
      <c r="E192" s="54"/>
      <c r="F192" s="54"/>
      <c r="G192" s="54"/>
      <c r="H192" s="54"/>
      <c r="I192" s="52">
        <f>IFERROR(B192/A192,"")</f>
        <v>3.4425641025641025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>
        <v>35</v>
      </c>
      <c r="B193" s="63">
        <f>192.26/1.3</f>
        <v>147.89230769230767</v>
      </c>
      <c r="C193" s="63"/>
      <c r="D193" s="63"/>
      <c r="E193" s="54"/>
      <c r="F193" s="54"/>
      <c r="G193" s="54"/>
      <c r="H193" s="54"/>
      <c r="I193" s="52">
        <f t="shared" ref="I193:I211" si="7">IF(A193&lt;&gt;0,(B193-(B192-D192))/(A193-A192),"")</f>
        <v>8.9230769230769198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>
        <v>40</v>
      </c>
      <c r="B194" s="63">
        <f>257.14/1.3</f>
        <v>197.79999999999998</v>
      </c>
      <c r="C194" s="63"/>
      <c r="D194" s="63"/>
      <c r="E194" s="54"/>
      <c r="F194" s="54"/>
      <c r="G194" s="54"/>
      <c r="H194" s="54"/>
      <c r="I194" s="52">
        <f t="shared" si="7"/>
        <v>9.981538461538463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>
        <v>45</v>
      </c>
      <c r="B195" s="63">
        <f>327.79/1.3</f>
        <v>252.14615384615385</v>
      </c>
      <c r="C195" s="63"/>
      <c r="D195" s="63"/>
      <c r="E195" s="54"/>
      <c r="F195" s="54"/>
      <c r="G195" s="54"/>
      <c r="H195" s="54"/>
      <c r="I195" s="52">
        <f t="shared" si="7"/>
        <v>10.869230769230773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>
        <v>51</v>
      </c>
      <c r="B196" s="63">
        <f>418.39/1.3</f>
        <v>321.8384615384615</v>
      </c>
      <c r="C196" s="63">
        <v>1</v>
      </c>
      <c r="D196" s="63">
        <f>130.4/1.3</f>
        <v>100.30769230769231</v>
      </c>
      <c r="E196" s="54"/>
      <c r="F196" s="54"/>
      <c r="G196" s="54"/>
      <c r="H196" s="54"/>
      <c r="I196" s="52">
        <f t="shared" si="7"/>
        <v>11.615384615384608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>
        <v>57</v>
      </c>
      <c r="B197" s="63">
        <f>370.22/1.3</f>
        <v>284.78461538461539</v>
      </c>
      <c r="C197" s="63"/>
      <c r="D197" s="63"/>
      <c r="E197" s="54"/>
      <c r="F197" s="54"/>
      <c r="G197" s="54"/>
      <c r="H197" s="54"/>
      <c r="I197" s="52">
        <f t="shared" si="7"/>
        <v>10.542307692307702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>
        <v>63</v>
      </c>
      <c r="B198" s="63">
        <f>455.9/1.3</f>
        <v>350.69230769230768</v>
      </c>
      <c r="C198" s="63">
        <v>2</v>
      </c>
      <c r="D198" s="63">
        <f>140.51/1.3</f>
        <v>108.08461538461538</v>
      </c>
      <c r="E198" s="54"/>
      <c r="F198" s="54"/>
      <c r="G198" s="54"/>
      <c r="H198" s="54"/>
      <c r="I198" s="52">
        <f t="shared" si="7"/>
        <v>10.984615384615381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281">
        <v>69</v>
      </c>
      <c r="B199" s="63">
        <f>390.97/1.3</f>
        <v>300.74615384615385</v>
      </c>
      <c r="C199" s="63"/>
      <c r="D199" s="63"/>
      <c r="E199" s="54"/>
      <c r="F199" s="54"/>
      <c r="G199" s="54"/>
      <c r="H199" s="54"/>
      <c r="I199" s="52">
        <f t="shared" si="7"/>
        <v>9.6897435897435908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281">
        <v>75</v>
      </c>
      <c r="B200" s="63">
        <f>468.62/1.3</f>
        <v>360.47692307692307</v>
      </c>
      <c r="C200" s="63">
        <v>3</v>
      </c>
      <c r="D200" s="63">
        <f>110.97/1.3</f>
        <v>85.361538461538458</v>
      </c>
      <c r="E200" s="54"/>
      <c r="F200" s="54"/>
      <c r="G200" s="54"/>
      <c r="H200" s="54"/>
      <c r="I200" s="52">
        <f t="shared" si="7"/>
        <v>9.9551282051282044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281">
        <v>81</v>
      </c>
      <c r="B201" s="63">
        <f>427.32/1.3</f>
        <v>328.7076923076923</v>
      </c>
      <c r="C201" s="63"/>
      <c r="D201" s="63"/>
      <c r="E201" s="54"/>
      <c r="F201" s="54"/>
      <c r="G201" s="54"/>
      <c r="H201" s="54"/>
      <c r="I201" s="52">
        <f t="shared" si="7"/>
        <v>8.9320512820512761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281">
        <v>87</v>
      </c>
      <c r="B202" s="63">
        <f>498.08/1.3</f>
        <v>383.13846153846151</v>
      </c>
      <c r="C202" s="63">
        <v>4</v>
      </c>
      <c r="D202" s="63">
        <f>107.82/1.3</f>
        <v>82.938461538461524</v>
      </c>
      <c r="E202" s="54"/>
      <c r="F202" s="54"/>
      <c r="G202" s="54"/>
      <c r="H202" s="54"/>
      <c r="I202" s="52">
        <f t="shared" si="7"/>
        <v>9.0717948717948698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281">
        <v>93</v>
      </c>
      <c r="B203" s="63">
        <f>453.6/1.3</f>
        <v>348.92307692307691</v>
      </c>
      <c r="C203" s="63"/>
      <c r="D203" s="63"/>
      <c r="E203" s="54"/>
      <c r="F203" s="54"/>
      <c r="G203" s="54"/>
      <c r="H203" s="54"/>
      <c r="I203" s="52">
        <f t="shared" si="7"/>
        <v>8.1205128205128201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281">
        <v>99</v>
      </c>
      <c r="B204" s="63">
        <f>517.23/1.3</f>
        <v>397.8692307692308</v>
      </c>
      <c r="C204" s="63">
        <v>5</v>
      </c>
      <c r="D204" s="63">
        <f>257.82/1.3</f>
        <v>198.32307692307691</v>
      </c>
      <c r="E204" s="54"/>
      <c r="F204" s="54"/>
      <c r="G204" s="54"/>
      <c r="H204" s="54"/>
      <c r="I204" s="52">
        <f t="shared" si="7"/>
        <v>8.1576923076923151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281">
        <v>104</v>
      </c>
      <c r="B205" s="63">
        <f>297.43/1.3</f>
        <v>228.7923076923077</v>
      </c>
      <c r="C205" s="63"/>
      <c r="D205" s="63"/>
      <c r="E205" s="54"/>
      <c r="F205" s="54"/>
      <c r="G205" s="54"/>
      <c r="H205" s="54"/>
      <c r="I205" s="52">
        <f t="shared" si="7"/>
        <v>5.849230769230763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281">
        <v>109</v>
      </c>
      <c r="B206" s="53">
        <v>256.09230769230771</v>
      </c>
      <c r="C206" s="53">
        <v>6</v>
      </c>
      <c r="D206" s="53">
        <v>256.09230769230771</v>
      </c>
      <c r="E206" s="54"/>
      <c r="F206" s="54"/>
      <c r="G206" s="54"/>
      <c r="H206" s="54"/>
      <c r="I206" s="52">
        <f t="shared" si="7"/>
        <v>5.4600000000000026</v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>Aulne à feuilles en cœur</v>
      </c>
      <c r="D214" s="257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3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0" t="s">
        <v>185</v>
      </c>
      <c r="C216" s="292" t="s">
        <v>186</v>
      </c>
      <c r="D216" s="292"/>
      <c r="E216" s="293" t="s">
        <v>187</v>
      </c>
      <c r="F216" s="294"/>
      <c r="G216" s="294"/>
      <c r="H216" s="295"/>
      <c r="I216" s="102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>
        <v>15</v>
      </c>
      <c r="B218" s="63">
        <f>26+3</f>
        <v>29</v>
      </c>
      <c r="C218" s="53"/>
      <c r="D218" s="63"/>
      <c r="E218" s="66"/>
      <c r="F218" s="66"/>
      <c r="G218" s="66"/>
      <c r="H218" s="66"/>
      <c r="I218" s="56">
        <f>IFERROR(B218/A218,"")</f>
        <v>1.9333333333333333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>
        <v>20</v>
      </c>
      <c r="B219" s="63">
        <f>61+3+7</f>
        <v>71</v>
      </c>
      <c r="C219" s="53"/>
      <c r="D219" s="63"/>
      <c r="E219" s="66"/>
      <c r="F219" s="66"/>
      <c r="G219" s="66"/>
      <c r="H219" s="66"/>
      <c r="I219" s="56">
        <f t="shared" ref="I219:I237" si="8">IF(A219&lt;&gt;0,(B219-(B218-D218))/(A219-A218),"")</f>
        <v>8.4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>
        <v>25</v>
      </c>
      <c r="B220" s="63">
        <f>80+3+7+14</f>
        <v>104</v>
      </c>
      <c r="C220" s="53">
        <v>1</v>
      </c>
      <c r="D220" s="63">
        <f>3+7+14</f>
        <v>24</v>
      </c>
      <c r="E220" s="66"/>
      <c r="F220" s="66"/>
      <c r="G220" s="66"/>
      <c r="H220" s="66">
        <v>1</v>
      </c>
      <c r="I220" s="56">
        <f t="shared" si="8"/>
        <v>6.6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>
        <v>30</v>
      </c>
      <c r="B221" s="58">
        <f>96+17</f>
        <v>113</v>
      </c>
      <c r="C221" s="58"/>
      <c r="D221" s="58"/>
      <c r="E221" s="66"/>
      <c r="F221" s="66"/>
      <c r="G221" s="66"/>
      <c r="H221" s="66"/>
      <c r="I221" s="56">
        <f t="shared" si="8"/>
        <v>6.6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>
        <v>35</v>
      </c>
      <c r="B222" s="58">
        <f>109+17+18</f>
        <v>144</v>
      </c>
      <c r="C222" s="58">
        <v>2</v>
      </c>
      <c r="D222" s="58">
        <f>17+18</f>
        <v>35</v>
      </c>
      <c r="E222" s="66"/>
      <c r="F222" s="66"/>
      <c r="G222" s="66"/>
      <c r="H222" s="66"/>
      <c r="I222" s="56">
        <f t="shared" si="8"/>
        <v>6.2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>
        <v>40</v>
      </c>
      <c r="B223" s="58">
        <f>120+19</f>
        <v>139</v>
      </c>
      <c r="C223" s="58"/>
      <c r="D223" s="58"/>
      <c r="E223" s="66"/>
      <c r="F223" s="66"/>
      <c r="G223" s="66"/>
      <c r="H223" s="66"/>
      <c r="I223" s="56">
        <f t="shared" si="8"/>
        <v>6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>
        <v>45</v>
      </c>
      <c r="B224" s="58">
        <f>129+19+19</f>
        <v>167</v>
      </c>
      <c r="C224" s="58">
        <v>3</v>
      </c>
      <c r="D224" s="58">
        <f>19+19</f>
        <v>38</v>
      </c>
      <c r="E224" s="66"/>
      <c r="F224" s="66"/>
      <c r="G224" s="66"/>
      <c r="H224" s="66"/>
      <c r="I224" s="56">
        <f t="shared" si="8"/>
        <v>5.6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>
        <v>50</v>
      </c>
      <c r="B225" s="58">
        <f>136+18</f>
        <v>154</v>
      </c>
      <c r="C225" s="58"/>
      <c r="D225" s="58"/>
      <c r="E225" s="66"/>
      <c r="F225" s="66"/>
      <c r="G225" s="66"/>
      <c r="H225" s="66"/>
      <c r="I225" s="56">
        <f t="shared" si="8"/>
        <v>5</v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>
        <v>55</v>
      </c>
      <c r="B226" s="58">
        <f>142+18+17</f>
        <v>177</v>
      </c>
      <c r="C226" s="58">
        <v>4</v>
      </c>
      <c r="D226" s="58">
        <f>18+17</f>
        <v>35</v>
      </c>
      <c r="E226" s="66"/>
      <c r="F226" s="66"/>
      <c r="G226" s="66"/>
      <c r="H226" s="66"/>
      <c r="I226" s="56">
        <f t="shared" si="8"/>
        <v>4.5999999999999996</v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>
        <v>60</v>
      </c>
      <c r="B227" s="58">
        <f>148+17</f>
        <v>165</v>
      </c>
      <c r="C227" s="58"/>
      <c r="D227" s="58"/>
      <c r="E227" s="66"/>
      <c r="F227" s="66"/>
      <c r="G227" s="66"/>
      <c r="H227" s="66"/>
      <c r="I227" s="56">
        <f t="shared" si="8"/>
        <v>4.5999999999999996</v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>
        <v>65</v>
      </c>
      <c r="B228" s="58">
        <f>153+17+16</f>
        <v>186</v>
      </c>
      <c r="C228" s="58">
        <v>5</v>
      </c>
      <c r="D228" s="58">
        <f>17+16</f>
        <v>33</v>
      </c>
      <c r="E228" s="66"/>
      <c r="F228" s="66"/>
      <c r="G228" s="66"/>
      <c r="H228" s="66"/>
      <c r="I228" s="56">
        <f t="shared" si="8"/>
        <v>4.2</v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>
        <v>70</v>
      </c>
      <c r="B229" s="58">
        <f>157+15</f>
        <v>172</v>
      </c>
      <c r="C229" s="58"/>
      <c r="D229" s="58"/>
      <c r="E229" s="66"/>
      <c r="F229" s="66"/>
      <c r="G229" s="66"/>
      <c r="H229" s="66"/>
      <c r="I229" s="56">
        <f t="shared" si="8"/>
        <v>3.8</v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>
        <v>75</v>
      </c>
      <c r="B230" s="58">
        <f>161+15+14</f>
        <v>190</v>
      </c>
      <c r="C230" s="58">
        <v>6</v>
      </c>
      <c r="D230" s="58">
        <f>15+14</f>
        <v>29</v>
      </c>
      <c r="E230" s="67"/>
      <c r="F230" s="67"/>
      <c r="G230" s="67"/>
      <c r="H230" s="67"/>
      <c r="I230" s="56">
        <f t="shared" si="8"/>
        <v>3.6</v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2">
        <v>80</v>
      </c>
      <c r="B231" s="63">
        <f>165+13</f>
        <v>178</v>
      </c>
      <c r="C231" s="92"/>
      <c r="D231" s="63"/>
      <c r="E231" s="57"/>
      <c r="F231" s="57"/>
      <c r="G231" s="57"/>
      <c r="H231" s="57"/>
      <c r="I231" s="56">
        <f t="shared" si="8"/>
        <v>3.4</v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>
        <v>85</v>
      </c>
      <c r="B232" s="53">
        <f>168+13+12</f>
        <v>193</v>
      </c>
      <c r="C232" s="53"/>
      <c r="D232" s="53"/>
      <c r="E232" s="57"/>
      <c r="F232" s="57"/>
      <c r="G232" s="57"/>
      <c r="H232" s="57"/>
      <c r="I232" s="56">
        <f t="shared" si="8"/>
        <v>3</v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>
        <v>90</v>
      </c>
      <c r="B233" s="53">
        <f>171+13+12+11</f>
        <v>207</v>
      </c>
      <c r="C233" s="53">
        <v>7</v>
      </c>
      <c r="D233" s="53">
        <f>B233</f>
        <v>207</v>
      </c>
      <c r="E233" s="57"/>
      <c r="F233" s="57"/>
      <c r="G233" s="57"/>
      <c r="H233" s="57"/>
      <c r="I233" s="56">
        <f t="shared" si="8"/>
        <v>2.8</v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>Pin de Salzmann</v>
      </c>
      <c r="D240" s="257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3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0" t="s">
        <v>185</v>
      </c>
      <c r="C242" s="292" t="s">
        <v>186</v>
      </c>
      <c r="D242" s="292"/>
      <c r="E242" s="293" t="s">
        <v>187</v>
      </c>
      <c r="F242" s="294"/>
      <c r="G242" s="294"/>
      <c r="H242" s="295"/>
      <c r="I242" s="102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>
        <v>29</v>
      </c>
      <c r="B244" s="63">
        <v>145</v>
      </c>
      <c r="C244" s="63">
        <v>1</v>
      </c>
      <c r="D244" s="63">
        <v>52</v>
      </c>
      <c r="E244" s="54"/>
      <c r="F244" s="54"/>
      <c r="G244" s="54"/>
      <c r="H244" s="66">
        <v>1</v>
      </c>
      <c r="I244" s="56">
        <f>IFERROR(B244/A244,"")</f>
        <v>5</v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>
        <v>38</v>
      </c>
      <c r="B245" s="63">
        <v>208</v>
      </c>
      <c r="C245" s="63">
        <v>2</v>
      </c>
      <c r="D245" s="63">
        <v>73</v>
      </c>
      <c r="E245" s="66"/>
      <c r="F245" s="66"/>
      <c r="G245" s="66"/>
      <c r="H245" s="66"/>
      <c r="I245" s="56">
        <f>IF(A245&lt;&gt;0,(B245-(B244-D244))/(A245-A244),"")</f>
        <v>12.777777777777779</v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>
        <v>49</v>
      </c>
      <c r="B246" s="63">
        <v>276</v>
      </c>
      <c r="C246" s="63">
        <v>3</v>
      </c>
      <c r="D246" s="63">
        <v>94</v>
      </c>
      <c r="E246" s="66"/>
      <c r="F246" s="66"/>
      <c r="G246" s="66"/>
      <c r="H246" s="66"/>
      <c r="I246" s="56">
        <f>IF(A246&lt;&gt;0,(B246-(B245-D245))/(A246-A245),"")</f>
        <v>12.818181818181818</v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>
        <v>57</v>
      </c>
      <c r="B247" s="63">
        <v>308</v>
      </c>
      <c r="C247" s="63">
        <v>4</v>
      </c>
      <c r="D247" s="63">
        <v>98</v>
      </c>
      <c r="E247" s="66"/>
      <c r="F247" s="66"/>
      <c r="G247" s="66"/>
      <c r="H247" s="66"/>
      <c r="I247" s="56">
        <f t="shared" ref="I247:I263" si="9">IF(A247&lt;&gt;0,(B247-(B246-D246))/(A247-A246),"")</f>
        <v>15.75</v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>
        <v>67</v>
      </c>
      <c r="B248" s="63">
        <v>338</v>
      </c>
      <c r="C248" s="63">
        <v>5</v>
      </c>
      <c r="D248" s="63">
        <v>101</v>
      </c>
      <c r="E248" s="66"/>
      <c r="F248" s="66"/>
      <c r="G248" s="66"/>
      <c r="H248" s="66"/>
      <c r="I248" s="56">
        <f t="shared" si="9"/>
        <v>12.8</v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>
        <v>78</v>
      </c>
      <c r="B249" s="63">
        <v>366</v>
      </c>
      <c r="C249" s="63">
        <v>6</v>
      </c>
      <c r="D249" s="63">
        <v>100</v>
      </c>
      <c r="E249" s="66"/>
      <c r="F249" s="66"/>
      <c r="G249" s="66"/>
      <c r="H249" s="66"/>
      <c r="I249" s="56">
        <f t="shared" si="9"/>
        <v>11.727272727272727</v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8">
        <v>91</v>
      </c>
      <c r="B250" s="63">
        <v>394</v>
      </c>
      <c r="C250" s="63">
        <v>7</v>
      </c>
      <c r="D250" s="63">
        <f>B250</f>
        <v>394</v>
      </c>
      <c r="E250" s="66"/>
      <c r="F250" s="66"/>
      <c r="G250" s="66"/>
      <c r="H250" s="66"/>
      <c r="I250" s="56">
        <f t="shared" si="9"/>
        <v>9.8461538461538467</v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2"/>
      <c r="B257" s="63"/>
      <c r="C257" s="92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>Tilleul</v>
      </c>
      <c r="D266" s="257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3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0" t="s">
        <v>185</v>
      </c>
      <c r="C268" s="292" t="s">
        <v>186</v>
      </c>
      <c r="D268" s="292"/>
      <c r="E268" s="293" t="s">
        <v>187</v>
      </c>
      <c r="F268" s="294"/>
      <c r="G268" s="294"/>
      <c r="H268" s="295"/>
      <c r="I268" s="102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>
        <v>20</v>
      </c>
      <c r="B270" s="63">
        <f>51/1.56</f>
        <v>32.692307692307693</v>
      </c>
      <c r="C270" s="53"/>
      <c r="D270" s="63"/>
      <c r="E270" s="54"/>
      <c r="F270" s="54"/>
      <c r="G270" s="54"/>
      <c r="H270" s="54"/>
      <c r="I270" s="56">
        <f>IFERROR(B270/A270,"")</f>
        <v>1.6346153846153846</v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>
        <v>25</v>
      </c>
      <c r="B271" s="63">
        <f>(80+11)/1.56</f>
        <v>58.333333333333329</v>
      </c>
      <c r="C271" s="53">
        <v>1</v>
      </c>
      <c r="D271" s="63">
        <f>(11+14)/1.56</f>
        <v>16.025641025641026</v>
      </c>
      <c r="E271" s="54"/>
      <c r="F271" s="54"/>
      <c r="G271" s="54"/>
      <c r="H271" s="54">
        <v>1</v>
      </c>
      <c r="I271" s="56">
        <f>IF(A271&lt;&gt;0,(B271-(B270-D270))/(A271-A270),"")</f>
        <v>5.1282051282051269</v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>
        <v>30</v>
      </c>
      <c r="B272" s="63">
        <f>108/1.56</f>
        <v>69.230769230769226</v>
      </c>
      <c r="C272" s="53"/>
      <c r="D272" s="63"/>
      <c r="E272" s="54"/>
      <c r="F272" s="54"/>
      <c r="G272" s="54"/>
      <c r="H272" s="54"/>
      <c r="I272" s="56">
        <f t="shared" ref="I272:I289" si="10">IF(A272&lt;&gt;0,(B272-(B271-D271))/(A272-A271),"")</f>
        <v>5.3846153846153841</v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>
        <v>35</v>
      </c>
      <c r="B273" s="63">
        <f>(133+16)/1.56</f>
        <v>95.512820512820511</v>
      </c>
      <c r="C273" s="53">
        <v>2</v>
      </c>
      <c r="D273" s="63">
        <f>(16+17)/1.56</f>
        <v>21.153846153846153</v>
      </c>
      <c r="E273" s="54"/>
      <c r="F273" s="54"/>
      <c r="G273" s="54"/>
      <c r="H273" s="54"/>
      <c r="I273" s="56">
        <f t="shared" si="10"/>
        <v>5.2564102564102573</v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>
        <v>40</v>
      </c>
      <c r="B274" s="63">
        <f>156/1.56</f>
        <v>100</v>
      </c>
      <c r="C274" s="53"/>
      <c r="D274" s="63"/>
      <c r="E274" s="54"/>
      <c r="F274" s="54"/>
      <c r="G274" s="54"/>
      <c r="H274" s="54"/>
      <c r="I274" s="56">
        <f t="shared" si="10"/>
        <v>5.1282051282051269</v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>
        <v>45</v>
      </c>
      <c r="B275" s="63">
        <f>(177+17)/1.56</f>
        <v>124.35897435897435</v>
      </c>
      <c r="C275" s="53">
        <v>3</v>
      </c>
      <c r="D275" s="63">
        <f>(17+17)/1.56</f>
        <v>21.794871794871796</v>
      </c>
      <c r="E275" s="66"/>
      <c r="F275" s="66"/>
      <c r="G275" s="66"/>
      <c r="H275" s="66"/>
      <c r="I275" s="56">
        <f t="shared" si="10"/>
        <v>4.8717948717948705</v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>
        <v>50</v>
      </c>
      <c r="B276" s="63">
        <f>195/1.56</f>
        <v>125</v>
      </c>
      <c r="C276" s="53"/>
      <c r="D276" s="63"/>
      <c r="E276" s="66"/>
      <c r="F276" s="66"/>
      <c r="G276" s="66"/>
      <c r="H276" s="66"/>
      <c r="I276" s="56">
        <f t="shared" si="10"/>
        <v>4.487179487179489</v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>
        <v>55</v>
      </c>
      <c r="B277" s="58">
        <f>(212+17)/1.56</f>
        <v>146.7948717948718</v>
      </c>
      <c r="C277" s="58">
        <v>4</v>
      </c>
      <c r="D277" s="58">
        <f>(17+17)/1.56</f>
        <v>21.794871794871796</v>
      </c>
      <c r="E277" s="66"/>
      <c r="F277" s="66"/>
      <c r="G277" s="66"/>
      <c r="H277" s="66"/>
      <c r="I277" s="56">
        <f t="shared" si="10"/>
        <v>4.3589743589743595</v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>
        <v>60</v>
      </c>
      <c r="B278" s="58">
        <f>226/1.56</f>
        <v>144.87179487179486</v>
      </c>
      <c r="C278" s="58"/>
      <c r="D278" s="58"/>
      <c r="E278" s="66"/>
      <c r="F278" s="66"/>
      <c r="G278" s="66"/>
      <c r="H278" s="66"/>
      <c r="I278" s="56">
        <f t="shared" si="10"/>
        <v>3.9743589743589722</v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>
        <v>65</v>
      </c>
      <c r="B279" s="58">
        <f>(240+17)/1.56</f>
        <v>164.74358974358975</v>
      </c>
      <c r="C279" s="58">
        <v>5</v>
      </c>
      <c r="D279" s="58">
        <f>(17+16)/1.56</f>
        <v>21.153846153846153</v>
      </c>
      <c r="E279" s="66"/>
      <c r="F279" s="66"/>
      <c r="G279" s="66"/>
      <c r="H279" s="66"/>
      <c r="I279" s="56">
        <f t="shared" si="10"/>
        <v>3.974358974358978</v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>
        <v>70</v>
      </c>
      <c r="B280" s="58">
        <f>251/1.56</f>
        <v>160.89743589743588</v>
      </c>
      <c r="C280" s="58"/>
      <c r="D280" s="58"/>
      <c r="E280" s="66"/>
      <c r="F280" s="66"/>
      <c r="G280" s="66"/>
      <c r="H280" s="66"/>
      <c r="I280" s="56">
        <f t="shared" si="10"/>
        <v>3.4615384615384586</v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>
        <v>75</v>
      </c>
      <c r="B281" s="58">
        <f>(262+15)/1.56</f>
        <v>177.56410256410257</v>
      </c>
      <c r="C281" s="58">
        <v>6</v>
      </c>
      <c r="D281" s="58">
        <f>(15+15)/1.56</f>
        <v>19.23076923076923</v>
      </c>
      <c r="E281" s="66"/>
      <c r="F281" s="66"/>
      <c r="G281" s="66"/>
      <c r="H281" s="66"/>
      <c r="I281" s="56">
        <f t="shared" si="10"/>
        <v>3.333333333333337</v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>
        <v>80</v>
      </c>
      <c r="B282" s="58">
        <f>272/1.56</f>
        <v>174.35897435897436</v>
      </c>
      <c r="C282" s="58"/>
      <c r="D282" s="58"/>
      <c r="E282" s="67"/>
      <c r="F282" s="67"/>
      <c r="G282" s="67"/>
      <c r="H282" s="67"/>
      <c r="I282" s="56">
        <f t="shared" si="10"/>
        <v>3.2051282051282044</v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2">
        <v>85</v>
      </c>
      <c r="B283" s="63">
        <f>(281+14)/1.56</f>
        <v>189.10256410256409</v>
      </c>
      <c r="C283" s="92">
        <v>7</v>
      </c>
      <c r="D283" s="63">
        <f>(14+14)/1.56</f>
        <v>17.948717948717949</v>
      </c>
      <c r="E283" s="57"/>
      <c r="F283" s="57"/>
      <c r="G283" s="57"/>
      <c r="H283" s="57"/>
      <c r="I283" s="56">
        <f t="shared" si="10"/>
        <v>2.9487179487179445</v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>
        <v>90</v>
      </c>
      <c r="B284" s="53">
        <f>289/1.56</f>
        <v>185.25641025641025</v>
      </c>
      <c r="C284" s="53"/>
      <c r="D284" s="53"/>
      <c r="E284" s="54"/>
      <c r="F284" s="54"/>
      <c r="G284" s="54"/>
      <c r="H284" s="54"/>
      <c r="I284" s="56">
        <f t="shared" si="10"/>
        <v>2.8205128205128234</v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>
        <v>95</v>
      </c>
      <c r="B285" s="53">
        <f>(297+13)/1.56</f>
        <v>198.7179487179487</v>
      </c>
      <c r="C285" s="53">
        <v>8</v>
      </c>
      <c r="D285" s="53">
        <f>(13+13)/1.56</f>
        <v>16.666666666666668</v>
      </c>
      <c r="E285" s="54"/>
      <c r="F285" s="54"/>
      <c r="G285" s="54"/>
      <c r="H285" s="54"/>
      <c r="I285" s="56">
        <f t="shared" si="10"/>
        <v>2.6923076923076907</v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>
        <v>100</v>
      </c>
      <c r="B286" s="53">
        <f>304/1.56</f>
        <v>194.87179487179486</v>
      </c>
      <c r="C286" s="53"/>
      <c r="D286" s="53"/>
      <c r="E286" s="54"/>
      <c r="F286" s="54"/>
      <c r="G286" s="54"/>
      <c r="H286" s="54"/>
      <c r="I286" s="56">
        <f t="shared" si="10"/>
        <v>2.5641025641025634</v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>
        <v>105</v>
      </c>
      <c r="B287" s="53">
        <f>(310+12)/1.56</f>
        <v>206.41025641025641</v>
      </c>
      <c r="C287" s="53"/>
      <c r="D287" s="53"/>
      <c r="E287" s="54"/>
      <c r="F287" s="54"/>
      <c r="G287" s="54"/>
      <c r="H287" s="54"/>
      <c r="I287" s="56">
        <f t="shared" si="10"/>
        <v>2.3076923076923093</v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>
        <v>110</v>
      </c>
      <c r="B288" s="53">
        <f>(317+12+12)/1.56</f>
        <v>218.58974358974359</v>
      </c>
      <c r="C288" s="53">
        <v>9</v>
      </c>
      <c r="D288" s="53">
        <f>B288</f>
        <v>218.58974358974359</v>
      </c>
      <c r="E288" s="54"/>
      <c r="F288" s="54"/>
      <c r="G288" s="54"/>
      <c r="H288" s="54"/>
      <c r="I288" s="56">
        <f t="shared" si="10"/>
        <v>2.4358974358974366</v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B18" sqref="B18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4"/>
      <c r="K1" s="10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6" t="s">
        <v>191</v>
      </c>
      <c r="C2" s="307"/>
      <c r="D2" s="307"/>
      <c r="E2" s="307"/>
      <c r="F2" s="307"/>
      <c r="G2" s="308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5"/>
      <c r="C4" s="305"/>
      <c r="D4" s="305"/>
      <c r="E4" s="305"/>
      <c r="F4" s="305"/>
      <c r="G4" s="305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5" t="s">
        <v>296</v>
      </c>
      <c r="C5" s="105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5"/>
      <c r="C6" s="235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6"/>
      <c r="B7" s="29" t="s">
        <v>295</v>
      </c>
      <c r="C7" s="107" t="s">
        <v>214</v>
      </c>
      <c r="D7" s="233"/>
      <c r="E7" s="108"/>
      <c r="F7" s="29" t="s">
        <v>295</v>
      </c>
      <c r="G7" s="107" t="s">
        <v>215</v>
      </c>
      <c r="H7" s="234"/>
      <c r="I7" s="234"/>
      <c r="J7" s="234"/>
      <c r="K7" s="234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</row>
    <row r="8" spans="1:38" ht="17.25" customHeight="1" x14ac:dyDescent="0.3">
      <c r="A8" s="112">
        <v>1</v>
      </c>
      <c r="B8" s="64">
        <v>1</v>
      </c>
      <c r="C8" s="52" t="s">
        <v>177</v>
      </c>
      <c r="D8" s="25"/>
      <c r="E8" s="112">
        <v>4</v>
      </c>
      <c r="F8" s="64">
        <v>0</v>
      </c>
      <c r="G8" s="109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2">
        <v>2</v>
      </c>
      <c r="B9" s="64">
        <v>0</v>
      </c>
      <c r="C9" s="115" t="s">
        <v>216</v>
      </c>
      <c r="D9" s="25"/>
      <c r="E9" s="112">
        <v>5</v>
      </c>
      <c r="F9" s="64">
        <v>0</v>
      </c>
      <c r="G9" s="110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2">
        <v>3</v>
      </c>
      <c r="B10" s="64">
        <v>0</v>
      </c>
      <c r="C10" s="116" t="s">
        <v>217</v>
      </c>
      <c r="D10" s="25"/>
      <c r="E10" s="5"/>
      <c r="F10" s="113">
        <f>SUM(F7:F9)</f>
        <v>0</v>
      </c>
      <c r="G10" s="111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3">
        <v>0</v>
      </c>
      <c r="C11" s="111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4"/>
      <c r="B13" s="114"/>
      <c r="C13" s="105" t="s">
        <v>273</v>
      </c>
      <c r="D13" s="234"/>
      <c r="E13" s="106"/>
      <c r="F13" s="114"/>
      <c r="G13" s="105" t="s">
        <v>301</v>
      </c>
      <c r="H13" s="234"/>
      <c r="I13" s="234"/>
      <c r="J13" s="234"/>
      <c r="K13" s="234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</row>
    <row r="14" spans="1:38" s="4" customFormat="1" ht="21" customHeight="1" x14ac:dyDescent="0.3">
      <c r="A14" s="234"/>
      <c r="B14" s="114"/>
      <c r="C14" s="105" t="s">
        <v>309</v>
      </c>
      <c r="D14" s="234"/>
      <c r="E14" s="106"/>
      <c r="F14" s="114"/>
      <c r="G14" s="105" t="s">
        <v>294</v>
      </c>
      <c r="H14" s="234"/>
      <c r="I14" s="234"/>
      <c r="J14" s="234"/>
      <c r="K14" s="234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7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0.21190000000000001</v>
      </c>
      <c r="C17" s="117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0.78810000000000002</v>
      </c>
      <c r="C18" s="117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3">
        <f>SUM(B16:B18)</f>
        <v>1</v>
      </c>
      <c r="C19" s="111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7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7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0" bestFit="1" customWidth="1"/>
    <col min="2" max="4" width="11.44140625" style="70"/>
    <col min="5" max="5" width="9.5546875" style="70" customWidth="1"/>
    <col min="6" max="7" width="11.44140625" style="70"/>
    <col min="8" max="8" width="10.6640625" style="70" customWidth="1"/>
    <col min="9" max="9" width="9.44140625" style="70" customWidth="1"/>
    <col min="10" max="11" width="10.5546875" style="70" bestFit="1" customWidth="1"/>
    <col min="12" max="12" width="14" style="70" bestFit="1" customWidth="1"/>
    <col min="13" max="13" width="14" style="70" customWidth="1"/>
    <col min="14" max="23" width="11.44140625" style="70"/>
    <col min="24" max="24" width="11.6640625" style="70" bestFit="1" customWidth="1"/>
    <col min="25" max="25" width="14.5546875" style="70" bestFit="1" customWidth="1"/>
    <col min="26" max="26" width="12.44140625" style="70" bestFit="1" customWidth="1"/>
    <col min="27" max="27" width="9.6640625" style="70" bestFit="1" customWidth="1"/>
    <col min="28" max="28" width="11" style="70" bestFit="1" customWidth="1"/>
    <col min="29" max="29" width="9.44140625" style="70" bestFit="1" customWidth="1"/>
    <col min="30" max="31" width="9.44140625" style="70" customWidth="1"/>
    <col min="32" max="32" width="11.44140625" style="70"/>
    <col min="33" max="34" width="14" style="70" bestFit="1" customWidth="1"/>
    <col min="35" max="35" width="10.5546875" style="70" bestFit="1" customWidth="1"/>
    <col min="36" max="36" width="9.44140625" style="70" bestFit="1" customWidth="1"/>
    <col min="37" max="38" width="10.5546875" style="70" bestFit="1" customWidth="1"/>
    <col min="39" max="41" width="10.5546875" style="70" customWidth="1"/>
    <col min="42" max="42" width="9" style="70" bestFit="1" customWidth="1"/>
    <col min="43" max="43" width="10.5546875" style="70" bestFit="1" customWidth="1"/>
    <col min="44" max="44" width="9.33203125" style="70" bestFit="1" customWidth="1"/>
    <col min="45" max="45" width="11.6640625" style="70" bestFit="1" customWidth="1"/>
    <col min="46" max="46" width="8.44140625" style="70" bestFit="1" customWidth="1"/>
    <col min="47" max="47" width="9.44140625" style="70" bestFit="1" customWidth="1"/>
    <col min="48" max="48" width="9.6640625" style="70" bestFit="1" customWidth="1"/>
    <col min="49" max="49" width="11" style="70" bestFit="1" customWidth="1"/>
    <col min="50" max="50" width="9.44140625" style="70" bestFit="1" customWidth="1"/>
    <col min="51" max="52" width="9.44140625" style="70" customWidth="1"/>
    <col min="53" max="53" width="10.5546875" style="70" bestFit="1" customWidth="1"/>
    <col min="54" max="54" width="14.33203125" style="70" customWidth="1"/>
    <col min="55" max="55" width="14" style="70" customWidth="1"/>
    <col min="56" max="56" width="10.5546875" style="70" bestFit="1" customWidth="1"/>
    <col min="57" max="57" width="9.44140625" style="70" bestFit="1" customWidth="1"/>
    <col min="58" max="59" width="10.5546875" style="70" bestFit="1" customWidth="1"/>
    <col min="60" max="62" width="10.5546875" style="70" customWidth="1"/>
    <col min="63" max="63" width="9" style="70" bestFit="1" customWidth="1"/>
    <col min="64" max="64" width="10.5546875" style="70" bestFit="1" customWidth="1"/>
    <col min="65" max="65" width="9.33203125" style="70" bestFit="1" customWidth="1"/>
    <col min="66" max="66" width="11.6640625" style="70" bestFit="1" customWidth="1"/>
    <col min="67" max="67" width="8.44140625" style="70" bestFit="1" customWidth="1"/>
    <col min="68" max="68" width="9.44140625" style="70" bestFit="1" customWidth="1"/>
    <col min="69" max="69" width="9.6640625" style="70" bestFit="1" customWidth="1"/>
    <col min="70" max="70" width="11" style="70" bestFit="1" customWidth="1"/>
    <col min="71" max="71" width="9.44140625" style="70" bestFit="1" customWidth="1"/>
    <col min="72" max="73" width="9.44140625" style="70" customWidth="1"/>
    <col min="74" max="74" width="10.5546875" style="70" bestFit="1" customWidth="1"/>
    <col min="75" max="75" width="14" style="70" bestFit="1" customWidth="1"/>
    <col min="76" max="76" width="13.88671875" style="70" customWidth="1"/>
    <col min="77" max="77" width="10.5546875" style="70" bestFit="1" customWidth="1"/>
    <col min="78" max="78" width="9.44140625" style="70" bestFit="1" customWidth="1"/>
    <col min="79" max="80" width="10.5546875" style="70" bestFit="1" customWidth="1"/>
    <col min="81" max="83" width="10.5546875" style="70" customWidth="1"/>
    <col min="84" max="84" width="11.44140625" style="70"/>
    <col min="85" max="85" width="10.5546875" style="70" bestFit="1" customWidth="1"/>
    <col min="86" max="86" width="9.33203125" style="70" bestFit="1" customWidth="1"/>
    <col min="87" max="87" width="11.6640625" style="70" bestFit="1" customWidth="1"/>
    <col min="88" max="88" width="8.44140625" style="70" bestFit="1" customWidth="1"/>
    <col min="89" max="89" width="9.44140625" style="70" bestFit="1" customWidth="1"/>
    <col min="90" max="90" width="9.6640625" style="70" bestFit="1" customWidth="1"/>
    <col min="91" max="91" width="11" style="70" bestFit="1" customWidth="1"/>
    <col min="92" max="92" width="9.44140625" style="70" bestFit="1" customWidth="1"/>
    <col min="93" max="94" width="9.44140625" style="70" customWidth="1"/>
    <col min="95" max="95" width="11.44140625" style="70"/>
    <col min="96" max="97" width="14" style="70" customWidth="1"/>
    <col min="98" max="98" width="10.5546875" style="70" bestFit="1" customWidth="1"/>
    <col min="99" max="99" width="9.44140625" style="70" bestFit="1" customWidth="1"/>
    <col min="100" max="101" width="10.5546875" style="70" bestFit="1" customWidth="1"/>
    <col min="102" max="104" width="10.5546875" style="70" customWidth="1"/>
    <col min="105" max="105" width="9" style="70" bestFit="1" customWidth="1"/>
    <col min="106" max="106" width="10.5546875" style="70" bestFit="1" customWidth="1"/>
    <col min="107" max="107" width="9.33203125" style="70" bestFit="1" customWidth="1"/>
    <col min="108" max="108" width="11.6640625" style="70" bestFit="1" customWidth="1"/>
    <col min="109" max="109" width="8.44140625" style="70" bestFit="1" customWidth="1"/>
    <col min="110" max="110" width="9.44140625" style="70" bestFit="1" customWidth="1"/>
    <col min="111" max="111" width="9.6640625" style="70" bestFit="1" customWidth="1"/>
    <col min="112" max="112" width="11" style="70" bestFit="1" customWidth="1"/>
    <col min="113" max="113" width="9.44140625" style="70" bestFit="1" customWidth="1"/>
    <col min="114" max="115" width="9.44140625" style="70" customWidth="1"/>
    <col min="116" max="116" width="10.5546875" style="70" bestFit="1" customWidth="1"/>
    <col min="117" max="117" width="14.33203125" style="70" customWidth="1"/>
    <col min="118" max="118" width="14" style="70" bestFit="1" customWidth="1"/>
    <col min="119" max="119" width="10.5546875" style="70" bestFit="1" customWidth="1"/>
    <col min="120" max="120" width="9.44140625" style="70" bestFit="1" customWidth="1"/>
    <col min="121" max="122" width="10.5546875" style="70" bestFit="1" customWidth="1"/>
    <col min="123" max="125" width="10.5546875" style="70" customWidth="1"/>
    <col min="126" max="126" width="9" style="70" bestFit="1" customWidth="1"/>
    <col min="127" max="127" width="10.5546875" style="70" bestFit="1" customWidth="1"/>
    <col min="128" max="128" width="9.33203125" style="70" bestFit="1" customWidth="1"/>
    <col min="129" max="129" width="11.6640625" style="70" bestFit="1" customWidth="1"/>
    <col min="130" max="130" width="8.44140625" style="70" bestFit="1" customWidth="1"/>
    <col min="131" max="131" width="9.44140625" style="70" bestFit="1" customWidth="1"/>
    <col min="132" max="132" width="9.6640625" style="70" bestFit="1" customWidth="1"/>
    <col min="133" max="133" width="11" style="70" bestFit="1" customWidth="1"/>
    <col min="134" max="134" width="9.44140625" style="70" bestFit="1" customWidth="1"/>
    <col min="135" max="136" width="9.44140625" style="70" customWidth="1"/>
    <col min="137" max="137" width="10.5546875" style="70" bestFit="1" customWidth="1"/>
    <col min="138" max="139" width="14" style="70" customWidth="1"/>
    <col min="140" max="140" width="10.5546875" style="70" bestFit="1" customWidth="1"/>
    <col min="141" max="141" width="9.44140625" style="70" bestFit="1" customWidth="1"/>
    <col min="142" max="143" width="10.5546875" style="70" bestFit="1" customWidth="1"/>
    <col min="144" max="146" width="10.5546875" style="70" customWidth="1"/>
    <col min="147" max="147" width="9" style="70" bestFit="1" customWidth="1"/>
    <col min="148" max="148" width="10.5546875" style="70" bestFit="1" customWidth="1"/>
    <col min="149" max="149" width="9.33203125" style="70" bestFit="1" customWidth="1"/>
    <col min="150" max="150" width="11.6640625" style="70" bestFit="1" customWidth="1"/>
    <col min="151" max="151" width="8.44140625" style="70" bestFit="1" customWidth="1"/>
    <col min="152" max="152" width="9.44140625" style="70" bestFit="1" customWidth="1"/>
    <col min="153" max="153" width="9.6640625" style="70" bestFit="1" customWidth="1"/>
    <col min="154" max="154" width="11" style="70" bestFit="1" customWidth="1"/>
    <col min="155" max="155" width="9.44140625" style="70" bestFit="1" customWidth="1"/>
    <col min="156" max="157" width="9.44140625" style="70" customWidth="1"/>
    <col min="158" max="158" width="11.44140625" style="70"/>
    <col min="159" max="160" width="14" style="70" bestFit="1" customWidth="1"/>
    <col min="161" max="161" width="10.5546875" style="70" bestFit="1" customWidth="1"/>
    <col min="162" max="162" width="9.44140625" style="70" bestFit="1" customWidth="1"/>
    <col min="163" max="164" width="10.5546875" style="70" bestFit="1" customWidth="1"/>
    <col min="165" max="167" width="10.5546875" style="70" customWidth="1"/>
    <col min="168" max="168" width="9" style="70" bestFit="1" customWidth="1"/>
    <col min="169" max="169" width="10.5546875" style="70" bestFit="1" customWidth="1"/>
    <col min="170" max="170" width="9.33203125" style="70" bestFit="1" customWidth="1"/>
    <col min="171" max="171" width="11.6640625" style="70" bestFit="1" customWidth="1"/>
    <col min="172" max="172" width="8.109375" style="70" bestFit="1" customWidth="1"/>
    <col min="173" max="173" width="9.44140625" style="70" bestFit="1" customWidth="1"/>
    <col min="174" max="174" width="9.6640625" style="70" bestFit="1" customWidth="1"/>
    <col min="175" max="175" width="11" style="70" bestFit="1" customWidth="1"/>
    <col min="176" max="176" width="9.44140625" style="70" bestFit="1" customWidth="1"/>
    <col min="177" max="178" width="9.44140625" style="70" customWidth="1"/>
    <col min="179" max="179" width="10.5546875" style="70" bestFit="1" customWidth="1"/>
    <col min="180" max="181" width="14" style="70" bestFit="1" customWidth="1"/>
    <col min="182" max="182" width="10.5546875" style="70" bestFit="1" customWidth="1"/>
    <col min="183" max="183" width="9.44140625" style="70" bestFit="1" customWidth="1"/>
    <col min="184" max="185" width="10.5546875" style="70" bestFit="1" customWidth="1"/>
    <col min="186" max="188" width="10.5546875" style="70" customWidth="1"/>
    <col min="189" max="189" width="9" style="70" bestFit="1" customWidth="1"/>
    <col min="190" max="190" width="10.5546875" style="70" bestFit="1" customWidth="1"/>
    <col min="191" max="191" width="9.33203125" style="70" bestFit="1" customWidth="1"/>
    <col min="192" max="192" width="11.44140625" style="70"/>
    <col min="193" max="193" width="8.44140625" style="70" bestFit="1" customWidth="1"/>
    <col min="194" max="194" width="9.44140625" style="70" bestFit="1" customWidth="1"/>
    <col min="195" max="195" width="9.6640625" style="70" bestFit="1" customWidth="1"/>
    <col min="196" max="196" width="11" style="70" bestFit="1" customWidth="1"/>
    <col min="197" max="197" width="9.44140625" style="70" bestFit="1" customWidth="1"/>
    <col min="198" max="199" width="9.44140625" style="70" customWidth="1"/>
    <col min="200" max="200" width="10.5546875" style="70" bestFit="1" customWidth="1"/>
    <col min="201" max="201" width="14" style="70" customWidth="1"/>
    <col min="202" max="202" width="14.33203125" style="70" customWidth="1"/>
    <col min="203" max="203" width="10.5546875" style="70" bestFit="1" customWidth="1"/>
    <col min="204" max="204" width="9.44140625" style="70" bestFit="1" customWidth="1"/>
    <col min="205" max="206" width="10.5546875" style="70" bestFit="1" customWidth="1"/>
    <col min="207" max="209" width="10.5546875" style="70" customWidth="1"/>
    <col min="210" max="210" width="9" style="70" bestFit="1" customWidth="1"/>
    <col min="211" max="211" width="10.5546875" style="70" bestFit="1" customWidth="1"/>
    <col min="212" max="212" width="9.33203125" style="70" bestFit="1" customWidth="1"/>
    <col min="213" max="213" width="11.6640625" style="70" bestFit="1" customWidth="1"/>
    <col min="214" max="214" width="8.44140625" style="70" bestFit="1" customWidth="1"/>
    <col min="215" max="215" width="9.44140625" style="70" bestFit="1" customWidth="1"/>
    <col min="216" max="216" width="9.6640625" style="70" bestFit="1" customWidth="1"/>
    <col min="217" max="217" width="11" style="70" bestFit="1" customWidth="1"/>
    <col min="218" max="218" width="9.44140625" style="70" bestFit="1" customWidth="1"/>
    <col min="219" max="16384" width="11.44140625" style="70"/>
  </cols>
  <sheetData>
    <row r="1" spans="1:218" s="5" customFormat="1" ht="26.4" thickBot="1" x14ac:dyDescent="0.55000000000000004">
      <c r="B1" s="312" t="s">
        <v>176</v>
      </c>
      <c r="C1" s="313"/>
      <c r="D1" s="313"/>
      <c r="E1" s="313"/>
      <c r="F1" s="313"/>
      <c r="G1" s="313"/>
      <c r="H1" s="314"/>
      <c r="I1" s="309" t="str">
        <f>IF('Données projet'!$B$9="","",'Données projet'!$B$9)</f>
        <v>Pin d'Alep</v>
      </c>
      <c r="J1" s="310"/>
      <c r="K1" s="310"/>
      <c r="L1" s="310"/>
      <c r="M1" s="310"/>
      <c r="N1" s="310"/>
      <c r="O1" s="310"/>
      <c r="P1" s="310"/>
      <c r="Q1" s="310"/>
      <c r="R1" s="310"/>
      <c r="S1" s="310"/>
      <c r="T1" s="310"/>
      <c r="U1" s="310"/>
      <c r="V1" s="310"/>
      <c r="W1" s="310"/>
      <c r="X1" s="310"/>
      <c r="Y1" s="310"/>
      <c r="Z1" s="310"/>
      <c r="AA1" s="310"/>
      <c r="AB1" s="310"/>
      <c r="AC1" s="311"/>
      <c r="AD1" s="310" t="str">
        <f>IF('Données projet'!$B$10="","",'Données projet'!$B$10)</f>
        <v>Cyprès de Provence</v>
      </c>
      <c r="AE1" s="310"/>
      <c r="AF1" s="310"/>
      <c r="AG1" s="310"/>
      <c r="AH1" s="310"/>
      <c r="AI1" s="310"/>
      <c r="AJ1" s="310"/>
      <c r="AK1" s="310"/>
      <c r="AL1" s="310"/>
      <c r="AM1" s="310"/>
      <c r="AN1" s="310"/>
      <c r="AO1" s="310"/>
      <c r="AP1" s="310"/>
      <c r="AQ1" s="310"/>
      <c r="AR1" s="310"/>
      <c r="AS1" s="310"/>
      <c r="AT1" s="310"/>
      <c r="AU1" s="310"/>
      <c r="AV1" s="310"/>
      <c r="AW1" s="310"/>
      <c r="AX1" s="311"/>
      <c r="AY1" s="309" t="str">
        <f>IF('Données projet'!$B$11="","",'Données projet'!$B$11)</f>
        <v>Pin pignon</v>
      </c>
      <c r="AZ1" s="310"/>
      <c r="BA1" s="310"/>
      <c r="BB1" s="310"/>
      <c r="BC1" s="310"/>
      <c r="BD1" s="310"/>
      <c r="BE1" s="310"/>
      <c r="BF1" s="310"/>
      <c r="BG1" s="310"/>
      <c r="BH1" s="310"/>
      <c r="BI1" s="310"/>
      <c r="BJ1" s="310"/>
      <c r="BK1" s="310"/>
      <c r="BL1" s="310"/>
      <c r="BM1" s="310"/>
      <c r="BN1" s="310"/>
      <c r="BO1" s="310"/>
      <c r="BP1" s="310"/>
      <c r="BQ1" s="310"/>
      <c r="BR1" s="310"/>
      <c r="BS1" s="311"/>
      <c r="BT1" s="309" t="str">
        <f>IF('Données projet'!$B$12="","",'Données projet'!$B$12)</f>
        <v>Cormier</v>
      </c>
      <c r="BU1" s="310"/>
      <c r="BV1" s="310"/>
      <c r="BW1" s="310"/>
      <c r="BX1" s="310"/>
      <c r="BY1" s="310"/>
      <c r="BZ1" s="310"/>
      <c r="CA1" s="310"/>
      <c r="CB1" s="310"/>
      <c r="CC1" s="310"/>
      <c r="CD1" s="310"/>
      <c r="CE1" s="310"/>
      <c r="CF1" s="310"/>
      <c r="CG1" s="310"/>
      <c r="CH1" s="310"/>
      <c r="CI1" s="310"/>
      <c r="CJ1" s="310"/>
      <c r="CK1" s="310"/>
      <c r="CL1" s="310"/>
      <c r="CM1" s="310"/>
      <c r="CN1" s="311"/>
      <c r="CO1" s="309" t="str">
        <f>IF('Données projet'!$B$13="","",'Données projet'!$B$13)</f>
        <v>Erable champêtre</v>
      </c>
      <c r="CP1" s="310"/>
      <c r="CQ1" s="310"/>
      <c r="CR1" s="310"/>
      <c r="CS1" s="310"/>
      <c r="CT1" s="310"/>
      <c r="CU1" s="310"/>
      <c r="CV1" s="310"/>
      <c r="CW1" s="310"/>
      <c r="CX1" s="310"/>
      <c r="CY1" s="310"/>
      <c r="CZ1" s="310"/>
      <c r="DA1" s="310"/>
      <c r="DB1" s="310"/>
      <c r="DC1" s="310"/>
      <c r="DD1" s="310"/>
      <c r="DE1" s="310"/>
      <c r="DF1" s="310"/>
      <c r="DG1" s="310"/>
      <c r="DH1" s="310"/>
      <c r="DI1" s="311"/>
      <c r="DJ1" s="309" t="str">
        <f>IF('Données projet'!$B$14="","",'Données projet'!$B$14)</f>
        <v>Chêne chevelu</v>
      </c>
      <c r="DK1" s="310"/>
      <c r="DL1" s="310"/>
      <c r="DM1" s="310"/>
      <c r="DN1" s="310"/>
      <c r="DO1" s="310"/>
      <c r="DP1" s="310"/>
      <c r="DQ1" s="310"/>
      <c r="DR1" s="310"/>
      <c r="DS1" s="310"/>
      <c r="DT1" s="310"/>
      <c r="DU1" s="310"/>
      <c r="DV1" s="310"/>
      <c r="DW1" s="310"/>
      <c r="DX1" s="310"/>
      <c r="DY1" s="310"/>
      <c r="DZ1" s="310"/>
      <c r="EA1" s="310"/>
      <c r="EB1" s="310"/>
      <c r="EC1" s="310"/>
      <c r="ED1" s="311"/>
      <c r="EE1" s="309" t="str">
        <f>IF('Données projet'!$B$15="","",'Données projet'!$B$15)</f>
        <v>Cèdre de l'Atlas</v>
      </c>
      <c r="EF1" s="310"/>
      <c r="EG1" s="310"/>
      <c r="EH1" s="310"/>
      <c r="EI1" s="310"/>
      <c r="EJ1" s="310"/>
      <c r="EK1" s="310"/>
      <c r="EL1" s="310"/>
      <c r="EM1" s="310"/>
      <c r="EN1" s="310"/>
      <c r="EO1" s="310"/>
      <c r="EP1" s="310"/>
      <c r="EQ1" s="310"/>
      <c r="ER1" s="310"/>
      <c r="ES1" s="310"/>
      <c r="ET1" s="310"/>
      <c r="EU1" s="310"/>
      <c r="EV1" s="310"/>
      <c r="EW1" s="310"/>
      <c r="EX1" s="310"/>
      <c r="EY1" s="311"/>
      <c r="EZ1" s="309" t="str">
        <f>IF('Données projet'!$B$16="","",'Données projet'!$B$16)</f>
        <v>Aulne à feuilles en cœur</v>
      </c>
      <c r="FA1" s="310"/>
      <c r="FB1" s="310"/>
      <c r="FC1" s="310"/>
      <c r="FD1" s="310"/>
      <c r="FE1" s="310"/>
      <c r="FF1" s="310"/>
      <c r="FG1" s="310"/>
      <c r="FH1" s="310"/>
      <c r="FI1" s="310"/>
      <c r="FJ1" s="310"/>
      <c r="FK1" s="310"/>
      <c r="FL1" s="310"/>
      <c r="FM1" s="310"/>
      <c r="FN1" s="310"/>
      <c r="FO1" s="310"/>
      <c r="FP1" s="310"/>
      <c r="FQ1" s="310"/>
      <c r="FR1" s="310"/>
      <c r="FS1" s="310"/>
      <c r="FT1" s="311"/>
      <c r="FU1" s="309" t="str">
        <f>IF('Données projet'!$B$17="","",'Données projet'!$B$17)</f>
        <v>Pin de Salzmann</v>
      </c>
      <c r="FV1" s="310"/>
      <c r="FW1" s="310"/>
      <c r="FX1" s="310"/>
      <c r="FY1" s="310"/>
      <c r="FZ1" s="310"/>
      <c r="GA1" s="310"/>
      <c r="GB1" s="310"/>
      <c r="GC1" s="310"/>
      <c r="GD1" s="310"/>
      <c r="GE1" s="310"/>
      <c r="GF1" s="310"/>
      <c r="GG1" s="310"/>
      <c r="GH1" s="310"/>
      <c r="GI1" s="310"/>
      <c r="GJ1" s="310"/>
      <c r="GK1" s="310"/>
      <c r="GL1" s="310"/>
      <c r="GM1" s="310"/>
      <c r="GN1" s="310"/>
      <c r="GO1" s="311"/>
      <c r="GP1" s="309" t="str">
        <f>IF('Données projet'!$B$18="","",'Données projet'!$B$18)</f>
        <v>Tilleul</v>
      </c>
      <c r="GQ1" s="310"/>
      <c r="GR1" s="310"/>
      <c r="GS1" s="310"/>
      <c r="GT1" s="310"/>
      <c r="GU1" s="310"/>
      <c r="GV1" s="310"/>
      <c r="GW1" s="310"/>
      <c r="GX1" s="310"/>
      <c r="GY1" s="310"/>
      <c r="GZ1" s="310"/>
      <c r="HA1" s="310"/>
      <c r="HB1" s="310"/>
      <c r="HC1" s="310"/>
      <c r="HD1" s="310"/>
      <c r="HE1" s="310"/>
      <c r="HF1" s="310"/>
      <c r="HG1" s="310"/>
      <c r="HH1" s="310"/>
      <c r="HI1" s="310"/>
      <c r="HJ1" s="311"/>
    </row>
    <row r="2" spans="1:218" s="5" customFormat="1" ht="58.2" thickBot="1" x14ac:dyDescent="0.35">
      <c r="A2" s="74" t="s">
        <v>178</v>
      </c>
      <c r="B2" s="75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8" t="s">
        <v>299</v>
      </c>
      <c r="I2" s="71" t="s">
        <v>298</v>
      </c>
      <c r="J2" s="72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2" t="s">
        <v>298</v>
      </c>
      <c r="AE2" s="72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1" t="s">
        <v>298</v>
      </c>
      <c r="AZ2" s="72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1" t="s">
        <v>298</v>
      </c>
      <c r="BU2" s="72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1" t="s">
        <v>298</v>
      </c>
      <c r="CP2" s="72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1" t="s">
        <v>298</v>
      </c>
      <c r="DK2" s="72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1" t="s">
        <v>298</v>
      </c>
      <c r="EF2" s="72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1" t="s">
        <v>298</v>
      </c>
      <c r="FA2" s="72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1" t="s">
        <v>298</v>
      </c>
      <c r="FV2" s="72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1" t="s">
        <v>298</v>
      </c>
      <c r="GQ2" s="72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6">
        <f>'Scénario référence'!$B$16*5+'Scénario référence'!$B$17*0+'Scénario référence'!$B$18*5</f>
        <v>3.9405000000000001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14.448500000000001</v>
      </c>
      <c r="H3" s="69">
        <f>(B3+E3+F3)*44/12+(C3+D3)*0.475*44/12</f>
        <v>161.30656666666667</v>
      </c>
      <c r="I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40.052199999999999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146.85806666666667</v>
      </c>
      <c r="S3" s="62">
        <f ca="1">AVERAGE(OFFSET($R$3,0,0,'Données projet'!$E$9+1,1))-AVERAGE(OFFSET($H$3,0,0,'Données projet'!$E$9+1,1))</f>
        <v>210.54472399593521</v>
      </c>
      <c r="T3" s="62">
        <f>IF('Données projet'!E9&gt;30,$R$33-$H$33,LOOKUP('Données projet'!$E$9,$A$3:$A$203,R3:R203)-LOOKUP('Données projet'!$E$9,$A$3:$A$203,$H$3:$H$203))</f>
        <v>181.14158435194193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40.052199999999999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146.85806666666667</v>
      </c>
      <c r="AN3" s="62">
        <f ca="1">AVERAGE(OFFSET($AM$3,0,0,'Données projet'!$E$10+1,1))-AVERAGE(OFFSET($H$3,0,0,'Données projet'!$E$10+1,1))</f>
        <v>289.05608923588198</v>
      </c>
      <c r="AO3" s="62">
        <f>IF('Données projet'!E10&gt;30,$AM$33-$H$33,LOOKUP('Données projet'!$E$10,$A$3:$A$203,AM3:AM203)-LOOKUP('Données projet'!$E$10,$A$3:$A$203,$H$3:$H$203))</f>
        <v>220.06639020312738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40.052199999999999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146.85806666666667</v>
      </c>
      <c r="BI3" s="62">
        <f ca="1">AVERAGE(OFFSET($BH$3,0,0,'Données projet'!$E$11+1,1))-AVERAGE(OFFSET($H$3,0,0,'Données projet'!$E$11+1,1))</f>
        <v>299.54950406029354</v>
      </c>
      <c r="BJ3" s="62">
        <f>IF('Données projet'!E11&gt;30,$BH$33-$H$33,LOOKUP('Données projet'!$E$11,$A$3:$A$203,BH3:BH203)-LOOKUP('Données projet'!$E$11,$A$3:$A$203,$H$3:$H$203))</f>
        <v>208.26364698165739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40.052199999999999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146.85806666666667</v>
      </c>
      <c r="CD3" s="62">
        <f ca="1">AVERAGE(OFFSET($CC$3,0,0,'Données projet'!$E$12+1,1))-AVERAGE(OFFSET($H$3,0,0,'Données projet'!$E$12+1,1))</f>
        <v>441.30518831297212</v>
      </c>
      <c r="CE3" s="62">
        <f>IF('Données projet'!E12&gt;30,$CC$33-$H$33,LOOKUP('Données projet'!$E$12,$A$3:$A$203,CC3:CC203)-LOOKUP('Données projet'!$E$12,$A$3:$A$203,$H$3:$H$203))</f>
        <v>270.42872405271851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40.052199999999999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146.85806666666667</v>
      </c>
      <c r="CY3" s="62">
        <f ca="1">AVERAGE(OFFSET($CX$3,0,0,'Données projet'!$E$13+1,1))-AVERAGE(OFFSET($H$3,0,0,'Données projet'!$E$13+1,1))</f>
        <v>310.81258463659196</v>
      </c>
      <c r="CZ3" s="62">
        <f>IF('Données projet'!E13&gt;30,$CX$33-$H$33,LOOKUP('Données projet'!$E$13,$A$3:$A$203,CX3:CX203)-LOOKUP('Données projet'!$E$13,$A$3:$A$203,$H$3:$H$203))</f>
        <v>287.31099756692083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40.052199999999999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146.85806666666667</v>
      </c>
      <c r="DT3" s="62">
        <f ca="1">AVERAGE(OFFSET($DS$3,0,0,'Données projet'!$E$14+1,1))-AVERAGE(OFFSET($H$3,0,0,'Données projet'!$E$14+1,1))</f>
        <v>431.19274104373625</v>
      </c>
      <c r="DU3" s="62">
        <f>IF('Données projet'!E14&gt;30,$DS$33-$H$33,LOOKUP('Données projet'!$E$14,$A$3:$A$203,DS3:DS203)-LOOKUP('Données projet'!$E$14,$A$3:$A$203,$H$3:$H$203))</f>
        <v>264.67919175178133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40.052199999999999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2">
        <f>EM3+(EE3+EF3)*44/12</f>
        <v>146.85806666666667</v>
      </c>
      <c r="EO3" s="62">
        <f ca="1">AVERAGE(OFFSET($EN$3,0,0,'Données projet'!$E$15+1,1))-AVERAGE(OFFSET($H$3,0,0,'Données projet'!$E$15+1,1))</f>
        <v>291.68530745507815</v>
      </c>
      <c r="EP3" s="62">
        <f>IF('Données projet'!E15&gt;30,$EN$33-$H$33,LOOKUP('Données projet'!$E$15,$A$3:$A$203,EN3:EN203)-LOOKUP('Données projet'!$E$15,$A$3:$A$203,$H$3:$H$203))</f>
        <v>175.95121106728979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40.052199999999999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projet'!$B$16,Paramètres!$A$1:$I$89,3,0)*VLOOKUP('Données projet'!$B$16,Paramètres!$A$1:$I$89,5,0)</f>
        <v>0</v>
      </c>
      <c r="FG3" s="13">
        <v>0</v>
      </c>
      <c r="FH3" s="15">
        <f>(FF3+FG3)*0.475*44/12</f>
        <v>0</v>
      </c>
      <c r="FI3" s="62">
        <f>FH3+(EZ3+FA3)*44/12</f>
        <v>146.85806666666667</v>
      </c>
      <c r="FJ3" s="62">
        <f ca="1">AVERAGE(OFFSET($FI$3,0,0,'Données projet'!$E$16+1,1))-AVERAGE(OFFSET($H$3,0,0,'Données projet'!$E$16+1,1))</f>
        <v>248.75689726928428</v>
      </c>
      <c r="FK3" s="62">
        <f>IF('Données projet'!E16&gt;30,$FI$33-$H$33,LOOKUP('Données projet'!$E$16,$A$3:$A$203,FI3:FI203)-LOOKUP('Données projet'!$E$16,$A$3:$A$203,$H$3:$H$203))</f>
        <v>232.02291680388336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40.052199999999999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>
        <f>FZ3*VLOOKUP('Données projet'!$B$17,Paramètres!$A$1:$I$89,3,0)*VLOOKUP('Données projet'!$B$17,Paramètres!$A$1:$I$89,5,0)</f>
        <v>0</v>
      </c>
      <c r="GB3" s="13">
        <v>0</v>
      </c>
      <c r="GC3" s="15">
        <f>(GA3+GB3)*0.475*44/12</f>
        <v>0</v>
      </c>
      <c r="GD3" s="62">
        <f>GC3+(FU3+FV3)*44/12</f>
        <v>146.85806666666667</v>
      </c>
      <c r="GE3" s="62">
        <f ca="1">AVERAGE(OFFSET($GD$3,0,0,'Données projet'!$E$17+1,1))-AVERAGE(OFFSET($H$3,0,0,'Données projet'!$E$17+1,1))</f>
        <v>315.909549580511</v>
      </c>
      <c r="GF3" s="62">
        <f>IF('Données projet'!E17&gt;30,$GD$33-$H$33,LOOKUP('Données projet'!$E$17,$A$3:$A$203,GD3:GD203)-LOOKUP('Données projet'!$E$17,$A$3:$A$203,$H$3:$H$203))</f>
        <v>208.56856525402051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40.052199999999999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>
        <f>GU3*VLOOKUP('Données projet'!$B$18,Paramètres!$A$1:$I$89,3,0)*VLOOKUP('Données projet'!$B$18,Paramètres!$A$1:$I$89,5,0)</f>
        <v>0</v>
      </c>
      <c r="GW3" s="13">
        <v>0</v>
      </c>
      <c r="GX3" s="15">
        <f>(GV3+GW3)*0.475*44/12</f>
        <v>0</v>
      </c>
      <c r="GY3" s="62">
        <f>GX3+(GP3+GQ3)*44/12</f>
        <v>146.85806666666667</v>
      </c>
      <c r="GZ3" s="62">
        <f ca="1">AVERAGE(OFFSET($GY$3,0,0,'Données projet'!$E$18+1,1))-AVERAGE(OFFSET($H$3,0,0,'Données projet'!$E$18+1,1))</f>
        <v>254.35742752782755</v>
      </c>
      <c r="HA3" s="62">
        <f>IF('Données projet'!E18&gt;30,$GY$33-$H$33,LOOKUP('Données projet'!$E$18,$A$3:$A$203,GY3:GY203)-LOOKUP('Données projet'!$E$18,$A$3:$A$203,$H$3:$H$203))</f>
        <v>171.79611712137395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6">
        <f>'Scénario référence'!$B$16*5+'Scénario référence'!$B$17*0+'Scénario référence'!$B$18*5</f>
        <v>3.9405000000000001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14.448500000000001</v>
      </c>
      <c r="H4" s="69">
        <f t="shared" ref="H4:H67" si="1">(B4+E4+F4)*44/12+(C4+D4)*0.475*44/12</f>
        <v>161.30656666666667</v>
      </c>
      <c r="I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40.571727376749521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1.4025641025641027</v>
      </c>
      <c r="N4" s="14">
        <f>IF('Données projet'!$A$36&gt;35,N3+M4-V3,IF(A4&lt;'Données projet'!$A$36,$K$205^A4,IF(A4='Données projet'!$A$36,'Données projet'!$B$36,N3+M4-V3)))</f>
        <v>1.2251829146849735</v>
      </c>
      <c r="O4" s="14">
        <f>N4*VLOOKUP('Données projet'!$B$9,Paramètres!$A$1:$I$89,3,0)*VLOOKUP('Données projet'!$B$9,Paramètres!$A$1:$I$89,5,0)</f>
        <v>0.71673200509070967</v>
      </c>
      <c r="P4" s="14">
        <f>EXP(-1.0587+0.8836*LN(O4)+0.284)</f>
        <v>0.34335654603330507</v>
      </c>
      <c r="Q4" s="22">
        <f t="shared" ref="Q4:Q34" si="2">(O4+P4)*0.475*44/12</f>
        <v>1.8463208932076591</v>
      </c>
      <c r="R4" s="62">
        <f t="shared" si="0"/>
        <v>151.8315434968448</v>
      </c>
      <c r="S4" s="62">
        <f ca="1">AVERAGE(OFFSET($R$3,0,0,'Données projet'!$E$9+1,1))-AVERAGE(OFFSET($H$3,0,0,'Données projet'!$E$9+1,1))</f>
        <v>210.54472399593521</v>
      </c>
      <c r="T4" s="62">
        <f>$T$3</f>
        <v>181.14158435194193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40.571727376749521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4.0533333333333328</v>
      </c>
      <c r="AI4" s="14">
        <f>IF('Données projet'!$A$62&gt;35,AI3+AH4-AQ3,IF(A4&lt;'Données projet'!$A$62,$AF$205^A4,IF(A4='Données projet'!$A$62,'Données projet'!$B$62,AI3+AH4-AQ3)))</f>
        <v>1.3150034895347604</v>
      </c>
      <c r="AJ4" s="14">
        <f>AI4*VLOOKUP('Données projet'!$B$10,Paramètres!$A$1:$I$89,3,0)*VLOOKUP('Données projet'!$B$10,Paramètres!$A$1:$I$89,5,0)</f>
        <v>0.68380181455807543</v>
      </c>
      <c r="AK4" s="14">
        <f>EXP(-1.0587+0.8836*LN(AJ4)+0.284)</f>
        <v>0.32937939902629387</v>
      </c>
      <c r="AL4" s="22">
        <f t="shared" ref="AL4:AL67" si="4">(AJ4+AK4)*0.475*44/12</f>
        <v>1.764623946992776</v>
      </c>
      <c r="AM4" s="62">
        <f t="shared" ref="AM4:AM67" si="5">AL4+(AD4+AE4)*44/12</f>
        <v>151.74984655062991</v>
      </c>
      <c r="AN4" s="62">
        <f ca="1">AVERAGE(OFFSET($AM$3,0,0,'Données projet'!$E$10+1,1))-AVERAGE(OFFSET($H$3,0,0,'Données projet'!$E$10+1,1))</f>
        <v>289.05608923588198</v>
      </c>
      <c r="AO4" s="62">
        <f>$AO$3</f>
        <v>220.06639020312738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40.571727376749521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1.5341666666666667</v>
      </c>
      <c r="BD4" s="13">
        <f>IF('Données projet'!$A$88&gt;35,BD3+BC4-BL3,IF(A4&lt;'Données projet'!$A$88,$BA$205^A4,IF(A4='Données projet'!$A$88,'Données projet'!$B$88,BD3+BC4-BL3)))</f>
        <v>1.3139754596796083</v>
      </c>
      <c r="BE4" s="14">
        <f>BD4*VLOOKUP('Données projet'!$B$11,Paramètres!$A$1:$I$89,3,0)*VLOOKUP('Données projet'!$B$11,Paramètres!$A$1:$I$89,5,0)</f>
        <v>1.5136997295509085</v>
      </c>
      <c r="BF4" s="14">
        <f>EXP(-1.0587+0.8836*LN(BE4)+0.284)</f>
        <v>0.66471453171137918</v>
      </c>
      <c r="BG4" s="22">
        <f t="shared" ref="BG4:BG67" si="7">(BE4+BF4)*0.475*44/12</f>
        <v>3.7940715050318166</v>
      </c>
      <c r="BH4" s="62">
        <f t="shared" ref="BH4:BH67" si="8">BG4+(AY4+AZ4)*44/12</f>
        <v>153.77929410866895</v>
      </c>
      <c r="BI4" s="62">
        <f ca="1">AVERAGE(OFFSET($BH$3,0,0,'Données projet'!$E$11+1,1))-AVERAGE(OFFSET($H$3,0,0,'Données projet'!$E$11+1,1))</f>
        <v>299.54950406029354</v>
      </c>
      <c r="BJ4" s="62">
        <f>$BJ$3</f>
        <v>208.26364698165739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40.571727376749521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1.8269230769230771</v>
      </c>
      <c r="BY4" s="13">
        <f>IF('Données projet'!$A$114&gt;35,BY3+BX4-CG3,IF(A4&lt;'Données projet'!$A$114,$BV$205^A4,IF(A4='Données projet'!$A$114,'Données projet'!$B$114,BY3+BX4-CG3)))</f>
        <v>1.197119521332874</v>
      </c>
      <c r="BZ4" s="14">
        <f>BY4*VLOOKUP('Données projet'!$B$12,Paramètres!$A$1:$I$89,3,0)*VLOOKUP('Données projet'!$B$12,Paramètres!$A$1:$I$89,5,0)</f>
        <v>1.2885794527627055</v>
      </c>
      <c r="CA4" s="14">
        <f>EXP(-1.0587+0.8836*LN(BZ4)+0.284)</f>
        <v>0.57656240805700631</v>
      </c>
      <c r="CB4" s="22">
        <f t="shared" ref="CB4:CB67" si="10">(BZ4+CA4)*0.475*44/12</f>
        <v>3.2484554075943315</v>
      </c>
      <c r="CC4" s="62">
        <f t="shared" ref="CC4:CC67" si="11">CB4+(BT4+BU4)*44/12</f>
        <v>153.23367801123146</v>
      </c>
      <c r="CD4" s="62">
        <f ca="1">AVERAGE(OFFSET($CC$3,0,0,'Données projet'!$E$12+1,1))-AVERAGE(OFFSET($H$3,0,0,'Données projet'!$E$12+1,1))</f>
        <v>441.30518831297212</v>
      </c>
      <c r="CE4" s="62">
        <f>$CE$3</f>
        <v>270.42872405271851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40.571727376749521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0.6</v>
      </c>
      <c r="CT4" s="13">
        <f>IF('Données projet'!$A$140&gt;35,CT3+CS4-DB3,IF(A4&lt;'Données projet'!$A$140,$CQ$205^A4,IF(A4='Données projet'!$A$140,'Données projet'!$B$140,CT3+CS4-DB3)))</f>
        <v>1.1577536725165907</v>
      </c>
      <c r="CU4" s="18">
        <f>CT4*VLOOKUP('Données projet'!$B$13,Paramètres!$A$1:$I$89,3,0)*VLOOKUP('Données projet'!$B$13,Paramètres!$A$1:$I$89,5,0)</f>
        <v>1.0114136083104937</v>
      </c>
      <c r="CV4" s="14">
        <f>EXP(-1.0587+0.8836*LN(CU4)+0.284)</f>
        <v>0.46548655994988658</v>
      </c>
      <c r="CW4" s="22">
        <f t="shared" ref="CW4:CW67" si="13">(CU4+CV4)*0.475*44/12</f>
        <v>2.5722677930534954</v>
      </c>
      <c r="CX4" s="62">
        <f t="shared" ref="CX4:CX67" si="14">CW4+(CO4+CP4)*44/12</f>
        <v>152.55749039669064</v>
      </c>
      <c r="CY4" s="62">
        <f ca="1">AVERAGE(OFFSET($CX$3,0,0,'Données projet'!$E$13+1,1))-AVERAGE(OFFSET($H$3,0,0,'Données projet'!$E$13+1,1))</f>
        <v>310.81258463659196</v>
      </c>
      <c r="CZ4" s="62">
        <f>$CZ$3</f>
        <v>287.31099756692083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40.571727376749521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1.8269230769230771</v>
      </c>
      <c r="DO4" s="13">
        <f>IF('Données projet'!$A$166&gt;35,DO3+DN4-DW3,IF(A4&lt;'Données projet'!$A$166,$DL$205^A4,IF(A4='Données projet'!$A$166,'Données projet'!$B$166,DO3+DN4-DW3)))</f>
        <v>1.197119521332874</v>
      </c>
      <c r="DP4" s="18">
        <f>DO4*VLOOKUP('Données projet'!$B$14,Paramètres!$A$1:$I$89,3,0)*VLOOKUP('Données projet'!$B$14,Paramètres!$A$1:$I$89,5,0)</f>
        <v>1.2512293236971201</v>
      </c>
      <c r="DQ4" s="14">
        <f>EXP(-1.0587+0.8836*LN(DP4)+0.284)</f>
        <v>0.56177054198202969</v>
      </c>
      <c r="DR4" s="22">
        <f t="shared" ref="DR4:DR67" si="16">(DP4+DQ4)*0.475*44/12</f>
        <v>3.1576414327245192</v>
      </c>
      <c r="DS4" s="62">
        <f t="shared" ref="DS4:DS67" si="17">DR4+(DJ4+DK4)*44/12</f>
        <v>153.14286403636166</v>
      </c>
      <c r="DT4" s="62">
        <f ca="1">AVERAGE(OFFSET($DS$3,0,0,'Données projet'!$E$14+1,1))-AVERAGE(OFFSET($H$3,0,0,'Données projet'!$E$14+1,1))</f>
        <v>431.19274104373625</v>
      </c>
      <c r="DU4" s="62">
        <f>$DU$3</f>
        <v>264.67919175178133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40.571727376749521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3.4425641025641025</v>
      </c>
      <c r="EJ4" s="13">
        <f>IF('Données projet'!$A$192&gt;35,EJ3+EI4-ER3,IF(A4&lt;'Données projet'!$A$192,$EG$205^A4,IF(A4='Données projet'!$A$192,'Données projet'!$B$192,EJ3+EI4-ER3)))</f>
        <v>1.1671681906248585</v>
      </c>
      <c r="EK4" s="18">
        <f>EJ4*VLOOKUP('Données projet'!$B$15,Paramètres!$A$1:$I$89,3,0)*VLOOKUP('Données projet'!$B$15,Paramètres!$A$1:$I$89,5,0)</f>
        <v>0.54623471321243378</v>
      </c>
      <c r="EL4" s="14">
        <f>EXP(-1.0587+0.8836*LN(EK4)+0.284)</f>
        <v>0.27008496636632595</v>
      </c>
      <c r="EM4" s="22">
        <f t="shared" ref="EM4:EM67" si="19">(EK4+EL4)*0.475*44/12</f>
        <v>1.4217567752663396</v>
      </c>
      <c r="EN4" s="62">
        <f t="shared" ref="EN4:EN67" si="20">EM4+(EE4+EF4)*44/12</f>
        <v>151.40697937890349</v>
      </c>
      <c r="EO4" s="62">
        <f ca="1">AVERAGE(OFFSET($EN$3,0,0,'Données projet'!$E$15+1,1))-AVERAGE(OFFSET($H$3,0,0,'Données projet'!$E$15+1,1))</f>
        <v>291.68530745507815</v>
      </c>
      <c r="EP4" s="62">
        <f>$EP$3</f>
        <v>175.95121106728979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40.571727376749521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1.9333333333333333</v>
      </c>
      <c r="FE4" s="13">
        <f>IF('Données projet'!$A$218&gt;35,FE3+FD4-FM3,IF(A4&lt;'Données projet'!$A$218,$FB$205^A4,IF(A4='Données projet'!$A$218,'Données projet'!$B$218,FE3+FD4-FM3)))</f>
        <v>1.2516796742016716</v>
      </c>
      <c r="FF4" s="18">
        <f>FE4*VLOOKUP('Données projet'!$B$16,Paramètres!$A$1:$I$89,3,0)*VLOOKUP('Données projet'!$B$16,Paramètres!$A$1:$I$89,5,0)</f>
        <v>0.82010052253693522</v>
      </c>
      <c r="FG4" s="14">
        <f>EXP(-1.0587+0.8836*LN(FF4)+0.284)</f>
        <v>0.38676309271340364</v>
      </c>
      <c r="FH4" s="22">
        <f t="shared" ref="FH4:FH67" si="22">(FF4+FG4)*0.475*44/12</f>
        <v>2.1019541298943403</v>
      </c>
      <c r="FI4" s="62">
        <f t="shared" ref="FI4:FI67" si="23">FH4+(EZ4+FA4)*44/12</f>
        <v>152.08717673353149</v>
      </c>
      <c r="FJ4" s="62">
        <f ca="1">AVERAGE(OFFSET($FI$3,0,0,'Données projet'!$E$16+1,1))-AVERAGE(OFFSET($H$3,0,0,'Données projet'!$E$16+1,1))</f>
        <v>248.75689726928428</v>
      </c>
      <c r="FK4" s="62">
        <f>$FK$3</f>
        <v>232.02291680388336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projet'!$B$16,Paramètres!$A$1:$I$89,3,0)*0.475*44/12</f>
        <v>0</v>
      </c>
      <c r="FR4" s="23">
        <f>EXP(-LN(2)/25)*FR3+(1-EXP(-LN(2)/25))/(LN(2)/25)*Calculateur!FM4*Calculateur!FO4*VLOOKUP('Données projet'!$B$16,Paramètres!$A$1:$I$89,3,0)*0.475*44/12</f>
        <v>0</v>
      </c>
      <c r="FS4" s="23">
        <f>EXP(-LN(2)/2)*FS3+(1-EXP(-LN(2)/2))/(LN(2)/2)*FM4*FP4*VLOOKUP('Données projet'!$B$16,Paramètres!$A$1:$I$89,3,0)*0.475*44/12</f>
        <v>0</v>
      </c>
      <c r="FT4" s="24">
        <f t="shared" ref="FT4:FT67" si="24">SUM(FQ4:FS4)</f>
        <v>0</v>
      </c>
      <c r="FU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40.571727376749521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5</v>
      </c>
      <c r="FZ4" s="13">
        <f>IF('Données projet'!$A$244&gt;35,FZ3+FY4-GH3,IF(A4&lt;'Données projet'!$A$244,$FW$205^A4,IF(A4='Données projet'!$A$244,'Données projet'!$B$244,FZ3+FY4-GH3)))</f>
        <v>1.187216519917875</v>
      </c>
      <c r="GA4" s="18">
        <f>FZ4*VLOOKUP('Données projet'!$B$17,Paramètres!$A$1:$I$89,3,0)*VLOOKUP('Données projet'!$B$17,Paramètres!$A$1:$I$89,5,0)</f>
        <v>0.70995547891088928</v>
      </c>
      <c r="GB4" s="14">
        <f>EXP(-1.0587+0.8836*LN(GA4)+0.284)</f>
        <v>0.34048648509490226</v>
      </c>
      <c r="GC4" s="22">
        <f t="shared" ref="GC4:GC67" si="25">(GA4+GB4)*0.475*44/12</f>
        <v>1.8295197539767536</v>
      </c>
      <c r="GD4" s="62">
        <f t="shared" ref="GD4:GD67" si="26">GC4+(FU4+FV4)*44/12</f>
        <v>151.81474235761388</v>
      </c>
      <c r="GE4" s="62">
        <f ca="1">AVERAGE(OFFSET($GD$3,0,0,'Données projet'!$E$17+1,1))-AVERAGE(OFFSET($H$3,0,0,'Données projet'!$E$17+1,1))</f>
        <v>315.909549580511</v>
      </c>
      <c r="GF4" s="62">
        <f>$GF$3</f>
        <v>208.56856525402051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projet'!$B$17,Paramètres!$A$1:$I$89,3,0)*0.475*44/12</f>
        <v>0</v>
      </c>
      <c r="GM4" s="23">
        <f>EXP(-LN(2)/25)*GM3+(1-EXP(-LN(2)/25))/(LN(2)/25)*Calculateur!GH4*Calculateur!GJ4*VLOOKUP('Données projet'!$B$17,Paramètres!$A$1:$I$89,3,0)*0.475*44/12</f>
        <v>0</v>
      </c>
      <c r="GN4" s="23">
        <f>EXP(-LN(2)/2)*GN3+(1-EXP(-LN(2)/2))/(LN(2)/2)*GH4*GK4*VLOOKUP('Données projet'!$B$17,Paramètres!$A$1:$I$89,3,0)*0.475*44/12</f>
        <v>0</v>
      </c>
      <c r="GO4" s="23">
        <f t="shared" ref="GO4:GO67" si="27">SUM(GL4:GN4)</f>
        <v>0</v>
      </c>
      <c r="GP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40.571727376749521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1.6346153846153846</v>
      </c>
      <c r="GU4" s="13">
        <f>IF('Données projet'!$A$270&gt;35,GU3+GT4-HC3,IF(A4&lt;'Données projet'!$A$270,$GR$205^A4,IF(A4='Données projet'!$A$270,'Données projet'!$B$270,GU3+GT4-HC3)))</f>
        <v>1.1904804802795936</v>
      </c>
      <c r="GV4" s="18">
        <f>GU4*VLOOKUP('Données projet'!$B$18,Paramètres!$A$1:$I$89,3,0)*VLOOKUP('Données projet'!$B$18,Paramètres!$A$1:$I$89,5,0)</f>
        <v>0.79857430617155145</v>
      </c>
      <c r="GW4" s="14">
        <f>EXP(-1.0587+0.8836*LN(GV4)+0.284)</f>
        <v>0.37777906983246112</v>
      </c>
      <c r="GX4" s="22">
        <f t="shared" ref="GX4:GX67" si="28">(GV4+GW4)*0.475*44/12</f>
        <v>2.0488154632069886</v>
      </c>
      <c r="GY4" s="62">
        <f t="shared" ref="GY4:GY67" si="29">GX4+(GP4+GQ4)*44/12</f>
        <v>152.03403806684412</v>
      </c>
      <c r="GZ4" s="62">
        <f ca="1">AVERAGE(OFFSET($GY$3,0,0,'Données projet'!$E$18+1,1))-AVERAGE(OFFSET($H$3,0,0,'Données projet'!$E$18+1,1))</f>
        <v>254.35742752782755</v>
      </c>
      <c r="HA4" s="62">
        <f>$HA$3</f>
        <v>171.79611712137395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>
        <f>EXP(-LN(2)/35)*HG3+(1-EXP(-LN(2)/35))/(LN(2)/35)*HC4*HD4*VLOOKUP('Données projet'!$B$18,Paramètres!$A$1:$I$89,3,0)*0.475*44/12</f>
        <v>0</v>
      </c>
      <c r="HH4" s="23">
        <f>EXP(-LN(2)/25)*HH3+(1-EXP(-LN(2)/25))/(LN(2)/25)*Calculateur!HC4*Calculateur!HE4*VLOOKUP('Données projet'!$B$18,Paramètres!$A$1:$I$89,3,0)*0.475*44/12</f>
        <v>0</v>
      </c>
      <c r="HI4" s="23">
        <f>EXP(-LN(2)/2)*HI3+(1-EXP(-LN(2)/2))/(LN(2)/2)*HC4*HF4*VLOOKUP('Données projet'!$B$18,Paramètres!$A$1:$I$89,3,0)*0.475*44/12</f>
        <v>0</v>
      </c>
      <c r="HJ4" s="24">
        <f t="shared" ref="HJ4:HJ67" si="30">SUM(HG4:HI4)</f>
        <v>0</v>
      </c>
    </row>
    <row r="5" spans="1:218" s="5" customFormat="1" x14ac:dyDescent="0.3">
      <c r="A5" s="11">
        <f t="shared" ref="A5:A68" si="31">A4+1</f>
        <v>2</v>
      </c>
      <c r="B5" s="76">
        <f>'Scénario référence'!$B$16*5+'Scénario référence'!$B$17*0+'Scénario référence'!$B$18*5</f>
        <v>3.9405000000000001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14.448500000000001</v>
      </c>
      <c r="H5" s="69">
        <f t="shared" si="1"/>
        <v>161.30656666666667</v>
      </c>
      <c r="I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41.082242115001655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1.4025641025641027</v>
      </c>
      <c r="N5" s="14">
        <f>IF('Données projet'!$A$36&gt;35,N4+M5-V4,IF(A5&lt;'Données projet'!$A$36,$K$205^A5,IF(A5='Données projet'!$A$36,'Données projet'!$B$36,N4+M5-V4)))</f>
        <v>1.5010731744359671</v>
      </c>
      <c r="O5" s="14">
        <f>N5*VLOOKUP('Données projet'!$B$9,Paramètres!$A$1:$I$89,3,0)*VLOOKUP('Données projet'!$B$9,Paramètres!$A$1:$I$89,5,0)</f>
        <v>0.87812780704504079</v>
      </c>
      <c r="P5" s="14">
        <f t="shared" ref="P5:P68" si="33">EXP(-1.0587+0.8836*LN(O5)+0.284)</f>
        <v>0.41084657890202247</v>
      </c>
      <c r="Q5" s="22">
        <f t="shared" si="2"/>
        <v>2.2449637221911352</v>
      </c>
      <c r="R5" s="62">
        <f t="shared" si="0"/>
        <v>155.32429592164164</v>
      </c>
      <c r="S5" s="62">
        <f ca="1">AVERAGE(OFFSET($R$3,0,0,'Données projet'!$E$9+1,1))-AVERAGE(OFFSET($H$3,0,0,'Données projet'!$E$9+1,1))</f>
        <v>210.54472399593521</v>
      </c>
      <c r="T5" s="62">
        <f t="shared" ref="T5:T68" si="34">$T$3</f>
        <v>181.14158435194193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41.082242115001655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4.0533333333333328</v>
      </c>
      <c r="AI5" s="14">
        <f>IF('Données projet'!$A$62&gt;35,AI4+AH5-AQ4,IF(A5&lt;'Données projet'!$A$62,$AF$205^A5,IF(A5='Données projet'!$A$62,'Données projet'!$B$62,AI4+AH5-AQ4)))</f>
        <v>1.7292341774885969</v>
      </c>
      <c r="AJ5" s="14">
        <f>AI5*VLOOKUP('Données projet'!$B$10,Paramètres!$A$1:$I$89,3,0)*VLOOKUP('Données projet'!$B$10,Paramètres!$A$1:$I$89,5,0)</f>
        <v>0.89920177229407039</v>
      </c>
      <c r="AK5" s="14">
        <f t="shared" ref="AK5:AK68" si="35">EXP(-1.0587+0.8836*LN(AJ5)+0.284)</f>
        <v>0.41954663902790629</v>
      </c>
      <c r="AL5" s="22">
        <f t="shared" si="4"/>
        <v>2.296820149719109</v>
      </c>
      <c r="AM5" s="62">
        <f t="shared" si="5"/>
        <v>155.37615234916962</v>
      </c>
      <c r="AN5" s="62">
        <f ca="1">AVERAGE(OFFSET($AM$3,0,0,'Données projet'!$E$10+1,1))-AVERAGE(OFFSET($H$3,0,0,'Données projet'!$E$10+1,1))</f>
        <v>289.05608923588198</v>
      </c>
      <c r="AO5" s="62">
        <f t="shared" ref="AO5:AO68" si="36">$AO$3</f>
        <v>220.06639020312738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41.082242115001655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1.5341666666666667</v>
      </c>
      <c r="BD5" s="13">
        <f>IF('Données projet'!$A$88&gt;35,BD4+BC5-BL4,IF(A5&lt;'Données projet'!$A$88,$BA$205^A5,IF(A5='Données projet'!$A$88,'Données projet'!$B$88,BD4+BC5-BL4)))</f>
        <v>1.726531508640238</v>
      </c>
      <c r="BE5" s="14">
        <f>BD5*VLOOKUP('Données projet'!$B$11,Paramètres!$A$1:$I$89,3,0)*VLOOKUP('Données projet'!$B$11,Paramètres!$A$1:$I$89,5,0)</f>
        <v>1.988964297953554</v>
      </c>
      <c r="BF5" s="14">
        <f t="shared" ref="BF5:BF68" si="37">EXP(-1.0587+0.8836*LN(BE5)+0.284)</f>
        <v>0.84609449833706862</v>
      </c>
      <c r="BG5" s="22">
        <f t="shared" si="7"/>
        <v>4.9377274035395011</v>
      </c>
      <c r="BH5" s="62">
        <f t="shared" si="8"/>
        <v>158.01705960299</v>
      </c>
      <c r="BI5" s="62">
        <f ca="1">AVERAGE(OFFSET($BH$3,0,0,'Données projet'!$E$11+1,1))-AVERAGE(OFFSET($H$3,0,0,'Données projet'!$E$11+1,1))</f>
        <v>299.54950406029354</v>
      </c>
      <c r="BJ5" s="62">
        <f t="shared" ref="BJ5:BJ68" si="38">$BJ$3</f>
        <v>208.26364698165739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41.082242115001655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1.8269230769230771</v>
      </c>
      <c r="BY5" s="13">
        <f>IF('Données projet'!$A$114&gt;35,BY4+BX5-CG4,IF(A5&lt;'Données projet'!$A$114,$BV$205^A5,IF(A5='Données projet'!$A$114,'Données projet'!$B$114,BY4+BX5-CG4)))</f>
        <v>1.4330951483562495</v>
      </c>
      <c r="BZ5" s="14">
        <f>BY5*VLOOKUP('Données projet'!$B$12,Paramètres!$A$1:$I$89,3,0)*VLOOKUP('Données projet'!$B$12,Paramètres!$A$1:$I$89,5,0)</f>
        <v>1.5425836176906669</v>
      </c>
      <c r="CA5" s="14">
        <f t="shared" ref="CA5:CA68" si="39">EXP(-1.0587+0.8836*LN(BZ5)+0.284)</f>
        <v>0.67590962253554199</v>
      </c>
      <c r="CB5" s="22">
        <f t="shared" si="10"/>
        <v>3.8638757267273136</v>
      </c>
      <c r="CC5" s="62">
        <f t="shared" si="11"/>
        <v>156.94320792617782</v>
      </c>
      <c r="CD5" s="62">
        <f ca="1">AVERAGE(OFFSET($CC$3,0,0,'Données projet'!$E$12+1,1))-AVERAGE(OFFSET($H$3,0,0,'Données projet'!$E$12+1,1))</f>
        <v>441.30518831297212</v>
      </c>
      <c r="CE5" s="62">
        <f t="shared" ref="CE5:CE68" si="40">$CE$3</f>
        <v>270.42872405271851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41.082242115001655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0.6</v>
      </c>
      <c r="CT5" s="13">
        <f>IF('Données projet'!$A$140&gt;35,CT4+CS5-DB4,IF(A5&lt;'Données projet'!$A$140,$CQ$205^A5,IF(A5='Données projet'!$A$140,'Données projet'!$B$140,CT4+CS5-DB4)))</f>
        <v>1.340393566225653</v>
      </c>
      <c r="CU5" s="18">
        <f>CT5*VLOOKUP('Données projet'!$B$13,Paramètres!$A$1:$I$89,3,0)*VLOOKUP('Données projet'!$B$13,Paramètres!$A$1:$I$89,5,0)</f>
        <v>1.1709678194547306</v>
      </c>
      <c r="CV5" s="14">
        <f t="shared" ref="CV5:CV68" si="41">EXP(-1.0587+0.8836*LN(CU5)+0.284)</f>
        <v>0.52980785325350399</v>
      </c>
      <c r="CW5" s="22">
        <f t="shared" si="13"/>
        <v>2.9621842966335081</v>
      </c>
      <c r="CX5" s="62">
        <f t="shared" si="14"/>
        <v>156.041516496084</v>
      </c>
      <c r="CY5" s="62">
        <f ca="1">AVERAGE(OFFSET($CX$3,0,0,'Données projet'!$E$13+1,1))-AVERAGE(OFFSET($H$3,0,0,'Données projet'!$E$13+1,1))</f>
        <v>310.81258463659196</v>
      </c>
      <c r="CZ5" s="62">
        <f t="shared" ref="CZ5:CZ68" si="42">$CZ$3</f>
        <v>287.31099756692083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41.082242115001655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1.8269230769230771</v>
      </c>
      <c r="DO5" s="13">
        <f>IF('Données projet'!$A$166&gt;35,DO4+DN5-DW4,IF(A5&lt;'Données projet'!$A$166,$DL$205^A5,IF(A5='Données projet'!$A$166,'Données projet'!$B$166,DO4+DN5-DW4)))</f>
        <v>1.4330951483562495</v>
      </c>
      <c r="DP5" s="18">
        <f>DO5*VLOOKUP('Données projet'!$B$14,Paramètres!$A$1:$I$89,3,0)*VLOOKUP('Données projet'!$B$14,Paramètres!$A$1:$I$89,5,0)</f>
        <v>1.4978710490619522</v>
      </c>
      <c r="DQ5" s="14">
        <f t="shared" ref="DQ5:DQ68" si="43">EXP(-1.0587+0.8836*LN(DP5)+0.284)</f>
        <v>0.6585689765350049</v>
      </c>
      <c r="DR5" s="22">
        <f t="shared" si="16"/>
        <v>3.7557997112480344</v>
      </c>
      <c r="DS5" s="62">
        <f t="shared" si="17"/>
        <v>156.83513191069855</v>
      </c>
      <c r="DT5" s="62">
        <f ca="1">AVERAGE(OFFSET($DS$3,0,0,'Données projet'!$E$14+1,1))-AVERAGE(OFFSET($H$3,0,0,'Données projet'!$E$14+1,1))</f>
        <v>431.19274104373625</v>
      </c>
      <c r="DU5" s="62">
        <f t="shared" ref="DU5:DU68" si="44">$DU$3</f>
        <v>264.67919175178133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41.082242115001655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3.4425641025641025</v>
      </c>
      <c r="EJ5" s="13">
        <f>IF('Données projet'!$A$192&gt;35,EJ4+EI5-ER4,IF(A5&lt;'Données projet'!$A$192,$EG$205^A5,IF(A5='Données projet'!$A$192,'Données projet'!$B$192,EJ4+EI5-ER4)))</f>
        <v>1.3622815852065062</v>
      </c>
      <c r="EK5" s="18">
        <f>EJ5*VLOOKUP('Données projet'!$B$15,Paramètres!$A$1:$I$89,3,0)*VLOOKUP('Données projet'!$B$15,Paramètres!$A$1:$I$89,5,0)</f>
        <v>0.63754778187664485</v>
      </c>
      <c r="EL5" s="14">
        <f t="shared" ref="EL5:EL68" si="45">EXP(-1.0587+0.8836*LN(EK5)+0.284)</f>
        <v>0.30961323785545058</v>
      </c>
      <c r="EM5" s="22">
        <f t="shared" si="19"/>
        <v>1.6496387760333995</v>
      </c>
      <c r="EN5" s="62">
        <f t="shared" si="20"/>
        <v>154.72897097548392</v>
      </c>
      <c r="EO5" s="62">
        <f ca="1">AVERAGE(OFFSET($EN$3,0,0,'Données projet'!$E$15+1,1))-AVERAGE(OFFSET($H$3,0,0,'Données projet'!$E$15+1,1))</f>
        <v>291.68530745507815</v>
      </c>
      <c r="EP5" s="62">
        <f t="shared" ref="EP5:EP68" si="46">$EP$3</f>
        <v>175.95121106728979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41.082242115001655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1.9333333333333333</v>
      </c>
      <c r="FE5" s="13">
        <f>IF('Données projet'!$A$218&gt;35,FE4+FD5-FM4,IF(A5&lt;'Données projet'!$A$218,$FB$205^A5,IF(A5='Données projet'!$A$218,'Données projet'!$B$218,FE4+FD5-FM4)))</f>
        <v>1.5667020068096027</v>
      </c>
      <c r="FF5" s="18">
        <f>FE5*VLOOKUP('Données projet'!$B$16,Paramètres!$A$1:$I$89,3,0)*VLOOKUP('Données projet'!$B$16,Paramètres!$A$1:$I$89,5,0)</f>
        <v>1.0265031548616517</v>
      </c>
      <c r="FG5" s="14">
        <f t="shared" ref="FG5:FG68" si="47">EXP(-1.0587+0.8836*LN(FF5)+0.284)</f>
        <v>0.4716176128966833</v>
      </c>
      <c r="FH5" s="22">
        <f t="shared" si="22"/>
        <v>2.6092270038457666</v>
      </c>
      <c r="FI5" s="62">
        <f t="shared" si="23"/>
        <v>155.68855920329628</v>
      </c>
      <c r="FJ5" s="62">
        <f ca="1">AVERAGE(OFFSET($FI$3,0,0,'Données projet'!$E$16+1,1))-AVERAGE(OFFSET($H$3,0,0,'Données projet'!$E$16+1,1))</f>
        <v>248.75689726928428</v>
      </c>
      <c r="FK5" s="62">
        <f t="shared" ref="FK5:FK68" si="48">$FK$3</f>
        <v>232.02291680388336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projet'!$B$16,Paramètres!$A$1:$I$89,3,0)*0.475*44/12</f>
        <v>0</v>
      </c>
      <c r="FR5" s="23">
        <f>EXP(-LN(2)/25)*FR4+(1-EXP(-LN(2)/25))/(LN(2)/25)*Calculateur!FM5*Calculateur!FO5*VLOOKUP('Données projet'!$B$16,Paramètres!$A$1:$I$89,3,0)*0.475*44/12</f>
        <v>0</v>
      </c>
      <c r="FS5" s="23">
        <f>EXP(-LN(2)/2)*FS4+(1-EXP(-LN(2)/2))/(LN(2)/2)*FM5*FP5*VLOOKUP('Données projet'!$B$16,Paramètres!$A$1:$I$89,3,0)*0.475*44/12</f>
        <v>0</v>
      </c>
      <c r="FT5" s="24">
        <f t="shared" si="24"/>
        <v>0</v>
      </c>
      <c r="FU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41.082242115001655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5</v>
      </c>
      <c r="FZ5" s="13">
        <f>IF('Données projet'!$A$244&gt;35,FZ4+FY5-GH4,IF(A5&lt;'Données projet'!$A$244,$FW$205^A5,IF(A5='Données projet'!$A$244,'Données projet'!$B$244,FZ4+FY5-GH4)))</f>
        <v>1.40948306516591</v>
      </c>
      <c r="GA5" s="18">
        <f>FZ5*VLOOKUP('Données projet'!$B$17,Paramètres!$A$1:$I$89,3,0)*VLOOKUP('Données projet'!$B$17,Paramètres!$A$1:$I$89,5,0)</f>
        <v>0.84287087296921426</v>
      </c>
      <c r="GB5" s="14">
        <f t="shared" ref="GB5:GB68" si="49">EXP(-1.0587+0.8836*LN(GA5)+0.284)</f>
        <v>0.3962365424077775</v>
      </c>
      <c r="GC5" s="22">
        <f t="shared" si="25"/>
        <v>2.1581120817815935</v>
      </c>
      <c r="GD5" s="62">
        <f t="shared" si="26"/>
        <v>155.23744428123209</v>
      </c>
      <c r="GE5" s="62">
        <f ca="1">AVERAGE(OFFSET($GD$3,0,0,'Données projet'!$E$17+1,1))-AVERAGE(OFFSET($H$3,0,0,'Données projet'!$E$17+1,1))</f>
        <v>315.909549580511</v>
      </c>
      <c r="GF5" s="62">
        <f t="shared" ref="GF5:GF68" si="50">$GF$3</f>
        <v>208.56856525402051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projet'!$B$17,Paramètres!$A$1:$I$89,3,0)*0.475*44/12</f>
        <v>0</v>
      </c>
      <c r="GM5" s="23">
        <f>EXP(-LN(2)/25)*GM4+(1-EXP(-LN(2)/25))/(LN(2)/25)*Calculateur!GH5*Calculateur!GJ5*VLOOKUP('Données projet'!$B$17,Paramètres!$A$1:$I$89,3,0)*0.475*44/12</f>
        <v>0</v>
      </c>
      <c r="GN5" s="23">
        <f>EXP(-LN(2)/2)*GN4+(1-EXP(-LN(2)/2))/(LN(2)/2)*GH5*GK5*VLOOKUP('Données projet'!$B$17,Paramètres!$A$1:$I$89,3,0)*0.475*44/12</f>
        <v>0</v>
      </c>
      <c r="GO5" s="23">
        <f t="shared" si="27"/>
        <v>0</v>
      </c>
      <c r="GP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41.082242115001655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1.6346153846153846</v>
      </c>
      <c r="GU5" s="13">
        <f>IF('Données projet'!$A$270&gt;35,GU4+GT5-HC4,IF(A5&lt;'Données projet'!$A$270,$GR$205^A5,IF(A5='Données projet'!$A$270,'Données projet'!$B$270,GU4+GT5-HC4)))</f>
        <v>1.4172437739267318</v>
      </c>
      <c r="GV5" s="18">
        <f>GU5*VLOOKUP('Données projet'!$B$18,Paramètres!$A$1:$I$89,3,0)*VLOOKUP('Données projet'!$B$18,Paramètres!$A$1:$I$89,5,0)</f>
        <v>0.95068712355005169</v>
      </c>
      <c r="GW5" s="14">
        <f t="shared" ref="GW5:GW68" si="51">EXP(-1.0587+0.8836*LN(GV5)+0.284)</f>
        <v>0.44070309303270105</v>
      </c>
      <c r="GX5" s="22">
        <f t="shared" si="28"/>
        <v>2.4233379605482943</v>
      </c>
      <c r="GY5" s="62">
        <f t="shared" si="29"/>
        <v>155.50267015999879</v>
      </c>
      <c r="GZ5" s="62">
        <f ca="1">AVERAGE(OFFSET($GY$3,0,0,'Données projet'!$E$18+1,1))-AVERAGE(OFFSET($H$3,0,0,'Données projet'!$E$18+1,1))</f>
        <v>254.35742752782755</v>
      </c>
      <c r="HA5" s="62">
        <f t="shared" ref="HA5:HA68" si="52">$HA$3</f>
        <v>171.79611712137395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>
        <f>EXP(-LN(2)/35)*HG4+(1-EXP(-LN(2)/35))/(LN(2)/35)*HC5*HD5*VLOOKUP('Données projet'!$B$18,Paramètres!$A$1:$I$89,3,0)*0.475*44/12</f>
        <v>0</v>
      </c>
      <c r="HH5" s="23">
        <f>EXP(-LN(2)/25)*HH4+(1-EXP(-LN(2)/25))/(LN(2)/25)*Calculateur!HC5*Calculateur!HE5*VLOOKUP('Données projet'!$B$18,Paramètres!$A$1:$I$89,3,0)*0.475*44/12</f>
        <v>0</v>
      </c>
      <c r="HI5" s="23">
        <f>EXP(-LN(2)/2)*HI4+(1-EXP(-LN(2)/2))/(LN(2)/2)*HC5*HF5*VLOOKUP('Données projet'!$B$18,Paramètres!$A$1:$I$89,3,0)*0.475*44/12</f>
        <v>0</v>
      </c>
      <c r="HJ5" s="24">
        <f t="shared" si="30"/>
        <v>0</v>
      </c>
    </row>
    <row r="6" spans="1:218" s="5" customFormat="1" x14ac:dyDescent="0.3">
      <c r="A6" s="11">
        <f t="shared" si="31"/>
        <v>3</v>
      </c>
      <c r="B6" s="76">
        <f>'Scénario référence'!$B$16*5+'Scénario référence'!$B$17*0+'Scénario référence'!$B$18*5</f>
        <v>3.9405000000000001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14.448500000000001</v>
      </c>
      <c r="H6" s="69">
        <f t="shared" si="1"/>
        <v>161.30656666666667</v>
      </c>
      <c r="I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41.583900563885081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1.4025641025641027</v>
      </c>
      <c r="N6" s="14">
        <f>IF('Données projet'!$A$36&gt;35,N5+M6-V5,IF(A6&lt;'Données projet'!$A$36,$K$205^A6,IF(A6='Données projet'!$A$36,'Données projet'!$B$36,N5+M6-V5)))</f>
        <v>1.839089207010884</v>
      </c>
      <c r="O6" s="14">
        <f>N6*VLOOKUP('Données projet'!$B$9,Paramètres!$A$1:$I$89,3,0)*VLOOKUP('Données projet'!$B$9,Paramètres!$A$1:$I$89,5,0)</f>
        <v>1.0758671861013671</v>
      </c>
      <c r="P6" s="14">
        <f t="shared" si="33"/>
        <v>0.49160242711412572</v>
      </c>
      <c r="Q6" s="22">
        <f t="shared" si="2"/>
        <v>2.7300095763503163</v>
      </c>
      <c r="R6" s="62">
        <f t="shared" si="0"/>
        <v>158.8709783105956</v>
      </c>
      <c r="S6" s="62">
        <f ca="1">AVERAGE(OFFSET($R$3,0,0,'Données projet'!$E$9+1,1))-AVERAGE(OFFSET($H$3,0,0,'Données projet'!$E$9+1,1))</f>
        <v>210.54472399593521</v>
      </c>
      <c r="T6" s="62">
        <f t="shared" si="34"/>
        <v>181.14158435194193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41.583900563885081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4.0533333333333328</v>
      </c>
      <c r="AI6" s="14">
        <f>IF('Données projet'!$A$62&gt;35,AI5+AH6-AQ5,IF(A6&lt;'Données projet'!$A$62,$AF$205^A6,IF(A6='Données projet'!$A$62,'Données projet'!$B$62,AI5+AH6-AQ5)))</f>
        <v>2.2739489776202761</v>
      </c>
      <c r="AJ6" s="14">
        <f>AI6*VLOOKUP('Données projet'!$B$10,Paramètres!$A$1:$I$89,3,0)*VLOOKUP('Données projet'!$B$10,Paramètres!$A$1:$I$89,5,0)</f>
        <v>1.1824534683625436</v>
      </c>
      <c r="AK6" s="14">
        <f t="shared" si="35"/>
        <v>0.53439705956097427</v>
      </c>
      <c r="AL6" s="22">
        <f t="shared" si="4"/>
        <v>2.9901813361334599</v>
      </c>
      <c r="AM6" s="62">
        <f t="shared" si="5"/>
        <v>159.13115007037874</v>
      </c>
      <c r="AN6" s="62">
        <f ca="1">AVERAGE(OFFSET($AM$3,0,0,'Données projet'!$E$10+1,1))-AVERAGE(OFFSET($H$3,0,0,'Données projet'!$E$10+1,1))</f>
        <v>289.05608923588198</v>
      </c>
      <c r="AO6" s="62">
        <f t="shared" si="36"/>
        <v>220.06639020312738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41.583900563885081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1.5341666666666667</v>
      </c>
      <c r="BD6" s="13">
        <f>IF('Données projet'!$A$88&gt;35,BD5+BC6-BL5,IF(A6&lt;'Données projet'!$A$88,$BA$205^A6,IF(A6='Données projet'!$A$88,'Données projet'!$B$88,BD5+BC6-BL5)))</f>
        <v>2.2686200327168842</v>
      </c>
      <c r="BE6" s="14">
        <f>BD6*VLOOKUP('Données projet'!$B$11,Paramètres!$A$1:$I$89,3,0)*VLOOKUP('Données projet'!$B$11,Paramètres!$A$1:$I$89,5,0)</f>
        <v>2.6134502776898505</v>
      </c>
      <c r="BF6" s="14">
        <f t="shared" si="37"/>
        <v>1.0769674288196409</v>
      </c>
      <c r="BG6" s="22">
        <f t="shared" si="7"/>
        <v>6.4274775055040303</v>
      </c>
      <c r="BH6" s="62">
        <f t="shared" si="8"/>
        <v>162.56844623974933</v>
      </c>
      <c r="BI6" s="62">
        <f ca="1">AVERAGE(OFFSET($BH$3,0,0,'Données projet'!$E$11+1,1))-AVERAGE(OFFSET($H$3,0,0,'Données projet'!$E$11+1,1))</f>
        <v>299.54950406029354</v>
      </c>
      <c r="BJ6" s="62">
        <f t="shared" si="38"/>
        <v>208.26364698165739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41.583900563885081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1.8269230769230771</v>
      </c>
      <c r="BY6" s="13">
        <f>IF('Données projet'!$A$114&gt;35,BY5+BX6-CG5,IF(A6&lt;'Données projet'!$A$114,$BV$205^A6,IF(A6='Données projet'!$A$114,'Données projet'!$B$114,BY5+BX6-CG5)))</f>
        <v>1.7155861780246975</v>
      </c>
      <c r="BZ6" s="14">
        <f>BY6*VLOOKUP('Données projet'!$B$12,Paramètres!$A$1:$I$89,3,0)*VLOOKUP('Données projet'!$B$12,Paramètres!$A$1:$I$89,5,0)</f>
        <v>1.8466569620257842</v>
      </c>
      <c r="CA6" s="14">
        <f t="shared" si="39"/>
        <v>0.79237531176498144</v>
      </c>
      <c r="CB6" s="22">
        <f t="shared" si="10"/>
        <v>4.5963145435189166</v>
      </c>
      <c r="CC6" s="62">
        <f t="shared" si="11"/>
        <v>160.73728327776422</v>
      </c>
      <c r="CD6" s="62">
        <f ca="1">AVERAGE(OFFSET($CC$3,0,0,'Données projet'!$E$12+1,1))-AVERAGE(OFFSET($H$3,0,0,'Données projet'!$E$12+1,1))</f>
        <v>441.30518831297212</v>
      </c>
      <c r="CE6" s="62">
        <f t="shared" si="40"/>
        <v>270.42872405271851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41.583900563885081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0.6</v>
      </c>
      <c r="CT6" s="13">
        <f>IF('Données projet'!$A$140&gt;35,CT5+CS6-DB5,IF(A6&lt;'Données projet'!$A$140,$CQ$205^A6,IF(A6='Données projet'!$A$140,'Données projet'!$B$140,CT5+CS6-DB5)))</f>
        <v>1.5518455739153598</v>
      </c>
      <c r="CU6" s="18">
        <f>CT6*VLOOKUP('Données projet'!$B$13,Paramètres!$A$1:$I$89,3,0)*VLOOKUP('Données projet'!$B$13,Paramètres!$A$1:$I$89,5,0)</f>
        <v>1.3556922933724584</v>
      </c>
      <c r="CV6" s="14">
        <f t="shared" si="41"/>
        <v>0.6030171126730397</v>
      </c>
      <c r="CW6" s="22">
        <f t="shared" si="13"/>
        <v>3.4114188821959091</v>
      </c>
      <c r="CX6" s="62">
        <f t="shared" si="14"/>
        <v>159.55238761644119</v>
      </c>
      <c r="CY6" s="62">
        <f ca="1">AVERAGE(OFFSET($CX$3,0,0,'Données projet'!$E$13+1,1))-AVERAGE(OFFSET($H$3,0,0,'Données projet'!$E$13+1,1))</f>
        <v>310.81258463659196</v>
      </c>
      <c r="CZ6" s="62">
        <f t="shared" si="42"/>
        <v>287.31099756692083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41.583900563885081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1.8269230769230771</v>
      </c>
      <c r="DO6" s="13">
        <f>IF('Données projet'!$A$166&gt;35,DO5+DN6-DW5,IF(A6&lt;'Données projet'!$A$166,$DL$205^A6,IF(A6='Données projet'!$A$166,'Données projet'!$B$166,DO5+DN6-DW5)))</f>
        <v>1.7155861780246975</v>
      </c>
      <c r="DP6" s="18">
        <f>DO6*VLOOKUP('Données projet'!$B$14,Paramètres!$A$1:$I$89,3,0)*VLOOKUP('Données projet'!$B$14,Paramètres!$A$1:$I$89,5,0)</f>
        <v>1.7931306732714141</v>
      </c>
      <c r="DQ6" s="14">
        <f t="shared" si="43"/>
        <v>0.77204670669299325</v>
      </c>
      <c r="DR6" s="22">
        <f t="shared" si="16"/>
        <v>4.4676839367713423</v>
      </c>
      <c r="DS6" s="62">
        <f t="shared" si="17"/>
        <v>160.60865267101664</v>
      </c>
      <c r="DT6" s="62">
        <f ca="1">AVERAGE(OFFSET($DS$3,0,0,'Données projet'!$E$14+1,1))-AVERAGE(OFFSET($H$3,0,0,'Données projet'!$E$14+1,1))</f>
        <v>431.19274104373625</v>
      </c>
      <c r="DU6" s="62">
        <f t="shared" si="44"/>
        <v>264.67919175178133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41.583900563885081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3.4425641025641025</v>
      </c>
      <c r="EJ6" s="13">
        <f>IF('Données projet'!$A$192&gt;35,EJ5+EI6-ER5,IF(A6&lt;'Données projet'!$A$192,$EG$205^A6,IF(A6='Données projet'!$A$192,'Données projet'!$B$192,EJ5+EI6-ER5)))</f>
        <v>1.590011732927042</v>
      </c>
      <c r="EK6" s="18">
        <f>EJ6*VLOOKUP('Données projet'!$B$15,Paramètres!$A$1:$I$89,3,0)*VLOOKUP('Données projet'!$B$15,Paramètres!$A$1:$I$89,5,0)</f>
        <v>0.7441254910098557</v>
      </c>
      <c r="EL6" s="14">
        <f t="shared" si="45"/>
        <v>0.35492666750402163</v>
      </c>
      <c r="EM6" s="22">
        <f t="shared" si="19"/>
        <v>1.9141825094116696</v>
      </c>
      <c r="EN6" s="62">
        <f t="shared" si="20"/>
        <v>158.05515124365695</v>
      </c>
      <c r="EO6" s="62">
        <f ca="1">AVERAGE(OFFSET($EN$3,0,0,'Données projet'!$E$15+1,1))-AVERAGE(OFFSET($H$3,0,0,'Données projet'!$E$15+1,1))</f>
        <v>291.68530745507815</v>
      </c>
      <c r="EP6" s="62">
        <f t="shared" si="46"/>
        <v>175.95121106728979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41.583900563885081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1.9333333333333333</v>
      </c>
      <c r="FE6" s="13">
        <f>IF('Données projet'!$A$218&gt;35,FE5+FD6-FM5,IF(A6&lt;'Données projet'!$A$218,$FB$205^A6,IF(A6='Données projet'!$A$218,'Données projet'!$B$218,FE5+FD6-FM5)))</f>
        <v>1.9610090574545487</v>
      </c>
      <c r="FF6" s="18">
        <f>FE6*VLOOKUP('Données projet'!$B$16,Paramètres!$A$1:$I$89,3,0)*VLOOKUP('Données projet'!$B$16,Paramètres!$A$1:$I$89,5,0)</f>
        <v>1.2848531344442202</v>
      </c>
      <c r="FG6" s="14">
        <f t="shared" si="47"/>
        <v>0.5750889290752057</v>
      </c>
      <c r="FH6" s="22">
        <f t="shared" si="22"/>
        <v>3.2393990939630002</v>
      </c>
      <c r="FI6" s="62">
        <f t="shared" si="23"/>
        <v>159.38036782820828</v>
      </c>
      <c r="FJ6" s="62">
        <f ca="1">AVERAGE(OFFSET($FI$3,0,0,'Données projet'!$E$16+1,1))-AVERAGE(OFFSET($H$3,0,0,'Données projet'!$E$16+1,1))</f>
        <v>248.75689726928428</v>
      </c>
      <c r="FK6" s="62">
        <f t="shared" si="48"/>
        <v>232.02291680388336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projet'!$B$16,Paramètres!$A$1:$I$89,3,0)*0.475*44/12</f>
        <v>0</v>
      </c>
      <c r="FR6" s="23">
        <f>EXP(-LN(2)/25)*FR5+(1-EXP(-LN(2)/25))/(LN(2)/25)*Calculateur!FM6*Calculateur!FO6*VLOOKUP('Données projet'!$B$16,Paramètres!$A$1:$I$89,3,0)*0.475*44/12</f>
        <v>0</v>
      </c>
      <c r="FS6" s="23">
        <f>EXP(-LN(2)/2)*FS5+(1-EXP(-LN(2)/2))/(LN(2)/2)*FM6*FP6*VLOOKUP('Données projet'!$B$16,Paramètres!$A$1:$I$89,3,0)*0.475*44/12</f>
        <v>0</v>
      </c>
      <c r="FT6" s="24">
        <f t="shared" si="24"/>
        <v>0</v>
      </c>
      <c r="FU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41.583900563885081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5</v>
      </c>
      <c r="FZ6" s="13">
        <f>IF('Données projet'!$A$244&gt;35,FZ5+FY6-GH5,IF(A6&lt;'Données projet'!$A$244,$FW$205^A6,IF(A6='Données projet'!$A$244,'Données projet'!$B$244,FZ5+FY6-GH5)))</f>
        <v>1.6733615795094512</v>
      </c>
      <c r="GA6" s="18">
        <f>FZ6*VLOOKUP('Données projet'!$B$17,Paramètres!$A$1:$I$89,3,0)*VLOOKUP('Données projet'!$B$17,Paramètres!$A$1:$I$89,5,0)</f>
        <v>1.0006702245466519</v>
      </c>
      <c r="GB6" s="14">
        <f t="shared" si="49"/>
        <v>0.4611149176611507</v>
      </c>
      <c r="GC6" s="22">
        <f t="shared" si="25"/>
        <v>2.5459424560119226</v>
      </c>
      <c r="GD6" s="62">
        <f t="shared" si="26"/>
        <v>158.68691119025721</v>
      </c>
      <c r="GE6" s="62">
        <f ca="1">AVERAGE(OFFSET($GD$3,0,0,'Données projet'!$E$17+1,1))-AVERAGE(OFFSET($H$3,0,0,'Données projet'!$E$17+1,1))</f>
        <v>315.909549580511</v>
      </c>
      <c r="GF6" s="62">
        <f t="shared" si="50"/>
        <v>208.56856525402051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projet'!$B$17,Paramètres!$A$1:$I$89,3,0)*0.475*44/12</f>
        <v>0</v>
      </c>
      <c r="GM6" s="23">
        <f>EXP(-LN(2)/25)*GM5+(1-EXP(-LN(2)/25))/(LN(2)/25)*Calculateur!GH6*Calculateur!GJ6*VLOOKUP('Données projet'!$B$17,Paramètres!$A$1:$I$89,3,0)*0.475*44/12</f>
        <v>0</v>
      </c>
      <c r="GN6" s="23">
        <f>EXP(-LN(2)/2)*GN5+(1-EXP(-LN(2)/2))/(LN(2)/2)*GH6*GK6*VLOOKUP('Données projet'!$B$17,Paramètres!$A$1:$I$89,3,0)*0.475*44/12</f>
        <v>0</v>
      </c>
      <c r="GO6" s="23">
        <f t="shared" si="27"/>
        <v>0</v>
      </c>
      <c r="GP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41.583900563885081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1.6346153846153846</v>
      </c>
      <c r="GU6" s="13">
        <f>IF('Données projet'!$A$270&gt;35,GU5+GT6-HC5,IF(A6&lt;'Données projet'!$A$270,$GR$205^A6,IF(A6='Données projet'!$A$270,'Données projet'!$B$270,GU5+GT6-HC5)))</f>
        <v>1.6872010486575595</v>
      </c>
      <c r="GV6" s="18">
        <f>GU6*VLOOKUP('Données projet'!$B$18,Paramètres!$A$1:$I$89,3,0)*VLOOKUP('Données projet'!$B$18,Paramètres!$A$1:$I$89,5,0)</f>
        <v>1.1317744634394911</v>
      </c>
      <c r="GW6" s="14">
        <f t="shared" si="51"/>
        <v>0.51410793164037016</v>
      </c>
      <c r="GX6" s="22">
        <f t="shared" si="28"/>
        <v>2.866578504764091</v>
      </c>
      <c r="GY6" s="62">
        <f t="shared" si="29"/>
        <v>159.00754723900937</v>
      </c>
      <c r="GZ6" s="62">
        <f ca="1">AVERAGE(OFFSET($GY$3,0,0,'Données projet'!$E$18+1,1))-AVERAGE(OFFSET($H$3,0,0,'Données projet'!$E$18+1,1))</f>
        <v>254.35742752782755</v>
      </c>
      <c r="HA6" s="62">
        <f t="shared" si="52"/>
        <v>171.79611712137395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>
        <f>EXP(-LN(2)/35)*HG5+(1-EXP(-LN(2)/35))/(LN(2)/35)*HC6*HD6*VLOOKUP('Données projet'!$B$18,Paramètres!$A$1:$I$89,3,0)*0.475*44/12</f>
        <v>0</v>
      </c>
      <c r="HH6" s="23">
        <f>EXP(-LN(2)/25)*HH5+(1-EXP(-LN(2)/25))/(LN(2)/25)*Calculateur!HC6*Calculateur!HE6*VLOOKUP('Données projet'!$B$18,Paramètres!$A$1:$I$89,3,0)*0.475*44/12</f>
        <v>0</v>
      </c>
      <c r="HI6" s="23">
        <f>EXP(-LN(2)/2)*HI5+(1-EXP(-LN(2)/2))/(LN(2)/2)*HC6*HF6*VLOOKUP('Données projet'!$B$18,Paramètres!$A$1:$I$89,3,0)*0.475*44/12</f>
        <v>0</v>
      </c>
      <c r="HJ6" s="24">
        <f t="shared" si="30"/>
        <v>0</v>
      </c>
    </row>
    <row r="7" spans="1:218" s="5" customFormat="1" x14ac:dyDescent="0.3">
      <c r="A7" s="11">
        <f t="shared" si="31"/>
        <v>4</v>
      </c>
      <c r="B7" s="76">
        <f>'Scénario référence'!$B$16*5+'Scénario référence'!$B$17*0+'Scénario référence'!$B$18*5</f>
        <v>3.9405000000000001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14.448500000000001</v>
      </c>
      <c r="H7" s="69">
        <f t="shared" si="1"/>
        <v>161.30656666666667</v>
      </c>
      <c r="I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42.076856360220646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1.4025641025641027</v>
      </c>
      <c r="N7" s="14">
        <f>IF('Données projet'!$A$36&gt;35,N6+M7-V6,IF(A7&lt;'Données projet'!$A$36,$K$205^A7,IF(A7='Données projet'!$A$36,'Données projet'!$B$36,N6+M7-V6)))</f>
        <v>2.2532206750112715</v>
      </c>
      <c r="O7" s="14">
        <f>N7*VLOOKUP('Données projet'!$B$9,Paramètres!$A$1:$I$89,3,0)*VLOOKUP('Données projet'!$B$9,Paramètres!$A$1:$I$89,5,0)</f>
        <v>1.3181340948815938</v>
      </c>
      <c r="P7" s="14">
        <f t="shared" si="33"/>
        <v>0.58823161431784188</v>
      </c>
      <c r="Q7" s="22">
        <f t="shared" si="2"/>
        <v>3.3202536101890168</v>
      </c>
      <c r="R7" s="62">
        <f t="shared" si="0"/>
        <v>162.49094915322027</v>
      </c>
      <c r="S7" s="62">
        <f ca="1">AVERAGE(OFFSET($R$3,0,0,'Données projet'!$E$9+1,1))-AVERAGE(OFFSET($H$3,0,0,'Données projet'!$E$9+1,1))</f>
        <v>210.54472399593521</v>
      </c>
      <c r="T7" s="62">
        <f t="shared" si="34"/>
        <v>181.14158435194193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42.076856360220646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4.0533333333333328</v>
      </c>
      <c r="AI7" s="14">
        <f>IF('Données projet'!$A$62&gt;35,AI6+AH7-AQ6,IF(A7&lt;'Données projet'!$A$62,$AF$205^A7,IF(A7='Données projet'!$A$62,'Données projet'!$B$62,AI6+AH7-AQ6)))</f>
        <v>2.9902508405946642</v>
      </c>
      <c r="AJ7" s="14">
        <f>AI7*VLOOKUP('Données projet'!$B$10,Paramètres!$A$1:$I$89,3,0)*VLOOKUP('Données projet'!$B$10,Paramètres!$A$1:$I$89,5,0)</f>
        <v>1.5549304371092254</v>
      </c>
      <c r="AK7" s="14">
        <f t="shared" si="35"/>
        <v>0.68068765353265059</v>
      </c>
      <c r="AL7" s="22">
        <f t="shared" si="4"/>
        <v>3.8937015078679331</v>
      </c>
      <c r="AM7" s="62">
        <f t="shared" si="5"/>
        <v>163.0643970508992</v>
      </c>
      <c r="AN7" s="62">
        <f ca="1">AVERAGE(OFFSET($AM$3,0,0,'Données projet'!$E$10+1,1))-AVERAGE(OFFSET($H$3,0,0,'Données projet'!$E$10+1,1))</f>
        <v>289.05608923588198</v>
      </c>
      <c r="AO7" s="62">
        <f t="shared" si="36"/>
        <v>220.06639020312738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42.076856360220646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1.5341666666666667</v>
      </c>
      <c r="BD7" s="13">
        <f>IF('Données projet'!$A$88&gt;35,BD6+BC7-BL6,IF(A7&lt;'Données projet'!$A$88,$BA$205^A7,IF(A7='Données projet'!$A$88,'Données projet'!$B$88,BD6+BC7-BL6)))</f>
        <v>2.9809110503275362</v>
      </c>
      <c r="BE7" s="14">
        <f>BD7*VLOOKUP('Données projet'!$B$11,Paramètres!$A$1:$I$89,3,0)*VLOOKUP('Données projet'!$B$11,Paramètres!$A$1:$I$89,5,0)</f>
        <v>3.4340095299773217</v>
      </c>
      <c r="BF7" s="14">
        <f t="shared" si="37"/>
        <v>1.3708384170066097</v>
      </c>
      <c r="BG7" s="22">
        <f t="shared" si="7"/>
        <v>8.3684435076636809</v>
      </c>
      <c r="BH7" s="62">
        <f t="shared" si="8"/>
        <v>167.53913905069493</v>
      </c>
      <c r="BI7" s="62">
        <f ca="1">AVERAGE(OFFSET($BH$3,0,0,'Données projet'!$E$11+1,1))-AVERAGE(OFFSET($H$3,0,0,'Données projet'!$E$11+1,1))</f>
        <v>299.54950406029354</v>
      </c>
      <c r="BJ7" s="62">
        <f t="shared" si="38"/>
        <v>208.26364698165739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42.076856360220646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1.8269230769230771</v>
      </c>
      <c r="BY7" s="13">
        <f>IF('Données projet'!$A$114&gt;35,BY6+BX7-CG6,IF(A7&lt;'Données projet'!$A$114,$BV$205^A7,IF(A7='Données projet'!$A$114,'Données projet'!$B$114,BY6+BX7-CG6)))</f>
        <v>2.0537617042422207</v>
      </c>
      <c r="BZ7" s="14">
        <f>BY7*VLOOKUP('Données projet'!$B$12,Paramètres!$A$1:$I$89,3,0)*VLOOKUP('Données projet'!$B$12,Paramètres!$A$1:$I$89,5,0)</f>
        <v>2.2106690984463264</v>
      </c>
      <c r="CA7" s="14">
        <f t="shared" si="39"/>
        <v>0.9289091525866483</v>
      </c>
      <c r="CB7" s="22">
        <f t="shared" si="10"/>
        <v>5.4680987872157631</v>
      </c>
      <c r="CC7" s="62">
        <f t="shared" si="11"/>
        <v>164.63879433024701</v>
      </c>
      <c r="CD7" s="62">
        <f ca="1">AVERAGE(OFFSET($CC$3,0,0,'Données projet'!$E$12+1,1))-AVERAGE(OFFSET($H$3,0,0,'Données projet'!$E$12+1,1))</f>
        <v>441.30518831297212</v>
      </c>
      <c r="CE7" s="62">
        <f t="shared" si="40"/>
        <v>270.42872405271851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42.076856360220646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0.6</v>
      </c>
      <c r="CT7" s="13">
        <f>IF('Données projet'!$A$140&gt;35,CT6+CS7-DB6,IF(A7&lt;'Données projet'!$A$140,$CQ$205^A7,IF(A7='Données projet'!$A$140,'Données projet'!$B$140,CT6+CS7-DB6)))</f>
        <v>1.796654912379124</v>
      </c>
      <c r="CU7" s="18">
        <f>CT7*VLOOKUP('Données projet'!$B$13,Paramètres!$A$1:$I$89,3,0)*VLOOKUP('Données projet'!$B$13,Paramètres!$A$1:$I$89,5,0)</f>
        <v>1.5695577314544029</v>
      </c>
      <c r="CV7" s="14">
        <f t="shared" si="41"/>
        <v>0.68634248424879218</v>
      </c>
      <c r="CW7" s="22">
        <f t="shared" si="13"/>
        <v>3.9290262090163979</v>
      </c>
      <c r="CX7" s="62">
        <f t="shared" si="14"/>
        <v>163.09972175204766</v>
      </c>
      <c r="CY7" s="62">
        <f ca="1">AVERAGE(OFFSET($CX$3,0,0,'Données projet'!$E$13+1,1))-AVERAGE(OFFSET($H$3,0,0,'Données projet'!$E$13+1,1))</f>
        <v>310.81258463659196</v>
      </c>
      <c r="CZ7" s="62">
        <f t="shared" si="42"/>
        <v>287.31099756692083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42.076856360220646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1.8269230769230771</v>
      </c>
      <c r="DO7" s="13">
        <f>IF('Données projet'!$A$166&gt;35,DO6+DN7-DW6,IF(A7&lt;'Données projet'!$A$166,$DL$205^A7,IF(A7='Données projet'!$A$166,'Données projet'!$B$166,DO6+DN7-DW6)))</f>
        <v>2.0537617042422207</v>
      </c>
      <c r="DP7" s="18">
        <f>DO7*VLOOKUP('Données projet'!$B$14,Paramètres!$A$1:$I$89,3,0)*VLOOKUP('Données projet'!$B$14,Paramètres!$A$1:$I$89,5,0)</f>
        <v>2.1465917332739695</v>
      </c>
      <c r="DQ7" s="14">
        <f t="shared" si="43"/>
        <v>0.90507773453220719</v>
      </c>
      <c r="DR7" s="22">
        <f t="shared" si="16"/>
        <v>5.3149909897624239</v>
      </c>
      <c r="DS7" s="62">
        <f t="shared" si="17"/>
        <v>164.48568653279369</v>
      </c>
      <c r="DT7" s="62">
        <f ca="1">AVERAGE(OFFSET($DS$3,0,0,'Données projet'!$E$14+1,1))-AVERAGE(OFFSET($H$3,0,0,'Données projet'!$E$14+1,1))</f>
        <v>431.19274104373625</v>
      </c>
      <c r="DU7" s="62">
        <f t="shared" si="44"/>
        <v>264.67919175178133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42.076856360220646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3.4425641025641025</v>
      </c>
      <c r="EJ7" s="13">
        <f>IF('Données projet'!$A$192&gt;35,EJ6+EI7-ER6,IF(A7&lt;'Données projet'!$A$192,$EG$205^A7,IF(A7='Données projet'!$A$192,'Données projet'!$B$192,EJ6+EI7-ER6)))</f>
        <v>1.8558111173927514</v>
      </c>
      <c r="EK7" s="18">
        <f>EJ7*VLOOKUP('Données projet'!$B$15,Paramètres!$A$1:$I$89,3,0)*VLOOKUP('Données projet'!$B$15,Paramètres!$A$1:$I$89,5,0)</f>
        <v>0.86851960293980757</v>
      </c>
      <c r="EL7" s="14">
        <f t="shared" si="45"/>
        <v>0.40687194183965542</v>
      </c>
      <c r="EM7" s="22">
        <f t="shared" si="19"/>
        <v>2.2213069404908978</v>
      </c>
      <c r="EN7" s="62">
        <f t="shared" si="20"/>
        <v>161.39200248352216</v>
      </c>
      <c r="EO7" s="62">
        <f ca="1">AVERAGE(OFFSET($EN$3,0,0,'Données projet'!$E$15+1,1))-AVERAGE(OFFSET($H$3,0,0,'Données projet'!$E$15+1,1))</f>
        <v>291.68530745507815</v>
      </c>
      <c r="EP7" s="62">
        <f t="shared" si="46"/>
        <v>175.95121106728979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42.076856360220646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1.9333333333333333</v>
      </c>
      <c r="FE7" s="13">
        <f>IF('Données projet'!$A$218&gt;35,FE6+FD7-FM6,IF(A7&lt;'Données projet'!$A$218,$FB$205^A7,IF(A7='Données projet'!$A$218,'Données projet'!$B$218,FE6+FD7-FM6)))</f>
        <v>2.4545551781412365</v>
      </c>
      <c r="FF7" s="18">
        <f>FE7*VLOOKUP('Données projet'!$B$16,Paramètres!$A$1:$I$89,3,0)*VLOOKUP('Données projet'!$B$16,Paramètres!$A$1:$I$89,5,0)</f>
        <v>1.608224552718138</v>
      </c>
      <c r="FG7" s="14">
        <f t="shared" si="47"/>
        <v>0.70126150360147599</v>
      </c>
      <c r="FH7" s="22">
        <f t="shared" si="22"/>
        <v>4.0223548814233281</v>
      </c>
      <c r="FI7" s="62">
        <f t="shared" si="23"/>
        <v>163.19305042445458</v>
      </c>
      <c r="FJ7" s="62">
        <f ca="1">AVERAGE(OFFSET($FI$3,0,0,'Données projet'!$E$16+1,1))-AVERAGE(OFFSET($H$3,0,0,'Données projet'!$E$16+1,1))</f>
        <v>248.75689726928428</v>
      </c>
      <c r="FK7" s="62">
        <f t="shared" si="48"/>
        <v>232.02291680388336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projet'!$B$16,Paramètres!$A$1:$I$89,3,0)*0.475*44/12</f>
        <v>0</v>
      </c>
      <c r="FR7" s="23">
        <f>EXP(-LN(2)/25)*FR6+(1-EXP(-LN(2)/25))/(LN(2)/25)*Calculateur!FM7*Calculateur!FO7*VLOOKUP('Données projet'!$B$16,Paramètres!$A$1:$I$89,3,0)*0.475*44/12</f>
        <v>0</v>
      </c>
      <c r="FS7" s="23">
        <f>EXP(-LN(2)/2)*FS6+(1-EXP(-LN(2)/2))/(LN(2)/2)*FM7*FP7*VLOOKUP('Données projet'!$B$16,Paramètres!$A$1:$I$89,3,0)*0.475*44/12</f>
        <v>0</v>
      </c>
      <c r="FT7" s="24">
        <f t="shared" si="24"/>
        <v>0</v>
      </c>
      <c r="FU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42.076856360220646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5</v>
      </c>
      <c r="FZ7" s="13">
        <f>IF('Données projet'!$A$244&gt;35,FZ6+FY7-GH6,IF(A7&lt;'Données projet'!$A$244,$FW$205^A7,IF(A7='Données projet'!$A$244,'Données projet'!$B$244,FZ6+FY7-GH6)))</f>
        <v>1.986642510989489</v>
      </c>
      <c r="GA7" s="18">
        <f>FZ7*VLOOKUP('Données projet'!$B$17,Paramètres!$A$1:$I$89,3,0)*VLOOKUP('Données projet'!$B$17,Paramètres!$A$1:$I$89,5,0)</f>
        <v>1.1880122215717144</v>
      </c>
      <c r="GB7" s="14">
        <f t="shared" si="49"/>
        <v>0.53661624946956477</v>
      </c>
      <c r="GC7" s="22">
        <f t="shared" si="25"/>
        <v>3.0037279203968943</v>
      </c>
      <c r="GD7" s="62">
        <f t="shared" si="26"/>
        <v>162.17442346342816</v>
      </c>
      <c r="GE7" s="62">
        <f ca="1">AVERAGE(OFFSET($GD$3,0,0,'Données projet'!$E$17+1,1))-AVERAGE(OFFSET($H$3,0,0,'Données projet'!$E$17+1,1))</f>
        <v>315.909549580511</v>
      </c>
      <c r="GF7" s="62">
        <f t="shared" si="50"/>
        <v>208.56856525402051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projet'!$B$17,Paramètres!$A$1:$I$89,3,0)*0.475*44/12</f>
        <v>0</v>
      </c>
      <c r="GM7" s="23">
        <f>EXP(-LN(2)/25)*GM6+(1-EXP(-LN(2)/25))/(LN(2)/25)*Calculateur!GH7*Calculateur!GJ7*VLOOKUP('Données projet'!$B$17,Paramètres!$A$1:$I$89,3,0)*0.475*44/12</f>
        <v>0</v>
      </c>
      <c r="GN7" s="23">
        <f>EXP(-LN(2)/2)*GN6+(1-EXP(-LN(2)/2))/(LN(2)/2)*GH7*GK7*VLOOKUP('Données projet'!$B$17,Paramètres!$A$1:$I$89,3,0)*0.475*44/12</f>
        <v>0</v>
      </c>
      <c r="GO7" s="23">
        <f t="shared" si="27"/>
        <v>0</v>
      </c>
      <c r="GP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42.076856360220646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1.6346153846153846</v>
      </c>
      <c r="GU7" s="13">
        <f>IF('Données projet'!$A$270&gt;35,GU6+GT7-HC6,IF(A7&lt;'Données projet'!$A$270,$GR$205^A7,IF(A7='Données projet'!$A$270,'Données projet'!$B$270,GU6+GT7-HC6)))</f>
        <v>2.0085799147340855</v>
      </c>
      <c r="GV7" s="18">
        <f>GU7*VLOOKUP('Données projet'!$B$18,Paramètres!$A$1:$I$89,3,0)*VLOOKUP('Données projet'!$B$18,Paramètres!$A$1:$I$89,5,0)</f>
        <v>1.3473554068036244</v>
      </c>
      <c r="GW7" s="14">
        <f t="shared" si="51"/>
        <v>0.5997393019338928</v>
      </c>
      <c r="GX7" s="22">
        <f t="shared" si="28"/>
        <v>3.3911899510511758</v>
      </c>
      <c r="GY7" s="62">
        <f t="shared" si="29"/>
        <v>162.56188549408245</v>
      </c>
      <c r="GZ7" s="62">
        <f ca="1">AVERAGE(OFFSET($GY$3,0,0,'Données projet'!$E$18+1,1))-AVERAGE(OFFSET($H$3,0,0,'Données projet'!$E$18+1,1))</f>
        <v>254.35742752782755</v>
      </c>
      <c r="HA7" s="62">
        <f t="shared" si="52"/>
        <v>171.79611712137395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>
        <f>EXP(-LN(2)/35)*HG6+(1-EXP(-LN(2)/35))/(LN(2)/35)*HC7*HD7*VLOOKUP('Données projet'!$B$18,Paramètres!$A$1:$I$89,3,0)*0.475*44/12</f>
        <v>0</v>
      </c>
      <c r="HH7" s="23">
        <f>EXP(-LN(2)/25)*HH6+(1-EXP(-LN(2)/25))/(LN(2)/25)*Calculateur!HC7*Calculateur!HE7*VLOOKUP('Données projet'!$B$18,Paramètres!$A$1:$I$89,3,0)*0.475*44/12</f>
        <v>0</v>
      </c>
      <c r="HI7" s="23">
        <f>EXP(-LN(2)/2)*HI6+(1-EXP(-LN(2)/2))/(LN(2)/2)*HC7*HF7*VLOOKUP('Données projet'!$B$18,Paramètres!$A$1:$I$89,3,0)*0.475*44/12</f>
        <v>0</v>
      </c>
      <c r="HJ7" s="24">
        <f t="shared" si="30"/>
        <v>0</v>
      </c>
    </row>
    <row r="8" spans="1:218" s="5" customFormat="1" x14ac:dyDescent="0.3">
      <c r="A8" s="11">
        <f t="shared" si="31"/>
        <v>5</v>
      </c>
      <c r="B8" s="76">
        <f>'Scénario référence'!$B$16*5+'Scénario référence'!$B$17*0+'Scénario référence'!$B$18*5</f>
        <v>3.9405000000000001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14.448500000000001</v>
      </c>
      <c r="H8" s="69">
        <f t="shared" si="1"/>
        <v>161.30656666666667</v>
      </c>
      <c r="I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42.561260475573853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1.4025641025641027</v>
      </c>
      <c r="N8" s="14">
        <f>IF('Données projet'!$A$36&gt;35,N7+M8-V7,IF(A8&lt;'Données projet'!$A$36,$K$205^A8,IF(A8='Données projet'!$A$36,'Données projet'!$B$36,N7+M8-V7)))</f>
        <v>2.7606074740387534</v>
      </c>
      <c r="O8" s="14">
        <f>N8*VLOOKUP('Données projet'!$B$9,Paramètres!$A$1:$I$89,3,0)*VLOOKUP('Données projet'!$B$9,Paramètres!$A$1:$I$89,5,0)</f>
        <v>1.6149553723126708</v>
      </c>
      <c r="P8" s="14">
        <f t="shared" si="33"/>
        <v>0.70385419802381588</v>
      </c>
      <c r="Q8" s="22">
        <f t="shared" si="2"/>
        <v>4.0385933350027141</v>
      </c>
      <c r="R8" s="62">
        <f t="shared" si="0"/>
        <v>166.20765952321793</v>
      </c>
      <c r="S8" s="62">
        <f ca="1">AVERAGE(OFFSET($R$3,0,0,'Données projet'!$E$9+1,1))-AVERAGE(OFFSET($H$3,0,0,'Données projet'!$E$9+1,1))</f>
        <v>210.54472399593521</v>
      </c>
      <c r="T8" s="62">
        <f t="shared" si="34"/>
        <v>181.14158435194193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42.561260475573853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4.0533333333333328</v>
      </c>
      <c r="AI8" s="14">
        <f>IF('Données projet'!$A$62&gt;35,AI7+AH8-AQ7,IF(A8&lt;'Données projet'!$A$62,$AF$205^A8,IF(A8='Données projet'!$A$62,'Données projet'!$B$62,AI7+AH8-AQ7)))</f>
        <v>3.932190289966234</v>
      </c>
      <c r="AJ8" s="14">
        <f>AI8*VLOOKUP('Données projet'!$B$10,Paramètres!$A$1:$I$89,3,0)*VLOOKUP('Données projet'!$B$10,Paramètres!$A$1:$I$89,5,0)</f>
        <v>2.0447389507824418</v>
      </c>
      <c r="AK8" s="14">
        <f t="shared" si="35"/>
        <v>0.86702513305823981</v>
      </c>
      <c r="AL8" s="22">
        <f t="shared" si="4"/>
        <v>5.0713224460225206</v>
      </c>
      <c r="AM8" s="62">
        <f t="shared" si="5"/>
        <v>167.24038863423775</v>
      </c>
      <c r="AN8" s="62">
        <f ca="1">AVERAGE(OFFSET($AM$3,0,0,'Données projet'!$E$10+1,1))-AVERAGE(OFFSET($H$3,0,0,'Données projet'!$E$10+1,1))</f>
        <v>289.05608923588198</v>
      </c>
      <c r="AO8" s="62">
        <f t="shared" si="36"/>
        <v>220.06639020312738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42.561260475573853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1.5341666666666667</v>
      </c>
      <c r="BD8" s="13">
        <f>IF('Données projet'!$A$88&gt;35,BD7+BC8-BL7,IF(A8&lt;'Données projet'!$A$88,$BA$205^A8,IF(A8='Données projet'!$A$88,'Données projet'!$B$88,BD7+BC8-BL7)))</f>
        <v>3.9168439676181483</v>
      </c>
      <c r="BE8" s="14">
        <f>BD8*VLOOKUP('Données projet'!$B$11,Paramètres!$A$1:$I$89,3,0)*VLOOKUP('Données projet'!$B$11,Paramètres!$A$1:$I$89,5,0)</f>
        <v>4.5122042506961062</v>
      </c>
      <c r="BF8" s="14">
        <f t="shared" si="37"/>
        <v>1.7448976777327356</v>
      </c>
      <c r="BG8" s="22">
        <f t="shared" si="7"/>
        <v>10.897785858680232</v>
      </c>
      <c r="BH8" s="62">
        <f t="shared" si="8"/>
        <v>173.06685204689546</v>
      </c>
      <c r="BI8" s="62">
        <f ca="1">AVERAGE(OFFSET($BH$3,0,0,'Données projet'!$E$11+1,1))-AVERAGE(OFFSET($H$3,0,0,'Données projet'!$E$11+1,1))</f>
        <v>299.54950406029354</v>
      </c>
      <c r="BJ8" s="62">
        <f t="shared" si="38"/>
        <v>208.26364698165739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42.561260475573853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1.8269230769230771</v>
      </c>
      <c r="BY8" s="13">
        <f>IF('Données projet'!$A$114&gt;35,BY7+BX8-CG7,IF(A8&lt;'Données projet'!$A$114,$BV$205^A8,IF(A8='Données projet'!$A$114,'Données projet'!$B$114,BY7+BX8-CG7)))</f>
        <v>2.4585982283142349</v>
      </c>
      <c r="BZ8" s="14">
        <f>BY8*VLOOKUP('Données projet'!$B$12,Paramètres!$A$1:$I$89,3,0)*VLOOKUP('Données projet'!$B$12,Paramètres!$A$1:$I$89,5,0)</f>
        <v>2.6464351329574423</v>
      </c>
      <c r="CA8" s="14">
        <f t="shared" si="39"/>
        <v>1.0889690793586624</v>
      </c>
      <c r="CB8" s="22">
        <f t="shared" si="10"/>
        <v>6.5058290031172161</v>
      </c>
      <c r="CC8" s="62">
        <f t="shared" si="11"/>
        <v>168.67489519133244</v>
      </c>
      <c r="CD8" s="62">
        <f ca="1">AVERAGE(OFFSET($CC$3,0,0,'Données projet'!$E$12+1,1))-AVERAGE(OFFSET($H$3,0,0,'Données projet'!$E$12+1,1))</f>
        <v>441.30518831297212</v>
      </c>
      <c r="CE8" s="62">
        <f t="shared" si="40"/>
        <v>270.42872405271851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42.561260475573853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0.6</v>
      </c>
      <c r="CT8" s="13">
        <f>IF('Données projet'!$A$140&gt;35,CT7+CS8-DB7,IF(A8&lt;'Données projet'!$A$140,$CQ$205^A8,IF(A8='Données projet'!$A$140,'Données projet'!$B$140,CT7+CS8-DB7)))</f>
        <v>2.0800838230519041</v>
      </c>
      <c r="CU8" s="18">
        <f>CT8*VLOOKUP('Données projet'!$B$13,Paramètres!$A$1:$I$89,3,0)*VLOOKUP('Données projet'!$B$13,Paramètres!$A$1:$I$89,5,0)</f>
        <v>1.8171612278181437</v>
      </c>
      <c r="CV8" s="14">
        <f t="shared" si="41"/>
        <v>0.78118182019192373</v>
      </c>
      <c r="CW8" s="22">
        <f t="shared" si="13"/>
        <v>4.5254474752842002</v>
      </c>
      <c r="CX8" s="62">
        <f t="shared" si="14"/>
        <v>166.69451366349944</v>
      </c>
      <c r="CY8" s="62">
        <f ca="1">AVERAGE(OFFSET($CX$3,0,0,'Données projet'!$E$13+1,1))-AVERAGE(OFFSET($H$3,0,0,'Données projet'!$E$13+1,1))</f>
        <v>310.81258463659196</v>
      </c>
      <c r="CZ8" s="62">
        <f t="shared" si="42"/>
        <v>287.31099756692083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42.561260475573853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1.8269230769230771</v>
      </c>
      <c r="DO8" s="13">
        <f>IF('Données projet'!$A$166&gt;35,DO7+DN8-DW7,IF(A8&lt;'Données projet'!$A$166,$DL$205^A8,IF(A8='Données projet'!$A$166,'Données projet'!$B$166,DO7+DN8-DW7)))</f>
        <v>2.4585982283142349</v>
      </c>
      <c r="DP8" s="18">
        <f>DO8*VLOOKUP('Données projet'!$B$14,Paramètres!$A$1:$I$89,3,0)*VLOOKUP('Données projet'!$B$14,Paramètres!$A$1:$I$89,5,0)</f>
        <v>2.5697268682340386</v>
      </c>
      <c r="DQ8" s="14">
        <f t="shared" si="43"/>
        <v>1.0610312801602253</v>
      </c>
      <c r="DR8" s="22">
        <f t="shared" si="16"/>
        <v>6.3235704417866758</v>
      </c>
      <c r="DS8" s="62">
        <f t="shared" si="17"/>
        <v>168.4926366300019</v>
      </c>
      <c r="DT8" s="62">
        <f ca="1">AVERAGE(OFFSET($DS$3,0,0,'Données projet'!$E$14+1,1))-AVERAGE(OFFSET($H$3,0,0,'Données projet'!$E$14+1,1))</f>
        <v>431.19274104373625</v>
      </c>
      <c r="DU8" s="62">
        <f t="shared" si="44"/>
        <v>264.67919175178133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42.561260475573853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3.4425641025641025</v>
      </c>
      <c r="EJ8" s="13">
        <f>IF('Données projet'!$A$192&gt;35,EJ7+EI8-ER7,IF(A8&lt;'Données projet'!$A$192,$EG$205^A8,IF(A8='Données projet'!$A$192,'Données projet'!$B$192,EJ7+EI8-ER7)))</f>
        <v>2.1660437040287945</v>
      </c>
      <c r="EK8" s="18">
        <f>EJ8*VLOOKUP('Données projet'!$B$15,Paramètres!$A$1:$I$89,3,0)*VLOOKUP('Données projet'!$B$15,Paramètres!$A$1:$I$89,5,0)</f>
        <v>1.0137084534854759</v>
      </c>
      <c r="EL8" s="14">
        <f t="shared" si="45"/>
        <v>0.46641966415357117</v>
      </c>
      <c r="EM8" s="22">
        <f t="shared" si="19"/>
        <v>2.5778898048880068</v>
      </c>
      <c r="EN8" s="62">
        <f t="shared" si="20"/>
        <v>164.74695599310323</v>
      </c>
      <c r="EO8" s="62">
        <f ca="1">AVERAGE(OFFSET($EN$3,0,0,'Données projet'!$E$15+1,1))-AVERAGE(OFFSET($H$3,0,0,'Données projet'!$E$15+1,1))</f>
        <v>291.68530745507815</v>
      </c>
      <c r="EP8" s="62">
        <f t="shared" si="46"/>
        <v>175.95121106728979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42.561260475573853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1.9333333333333333</v>
      </c>
      <c r="FE8" s="13">
        <f>IF('Données projet'!$A$218&gt;35,FE7+FD8-FM7,IF(A8&lt;'Données projet'!$A$218,$FB$205^A8,IF(A8='Données projet'!$A$218,'Données projet'!$B$218,FE7+FD8-FM7)))</f>
        <v>3.0723168256858489</v>
      </c>
      <c r="FF8" s="18">
        <f>FE8*VLOOKUP('Données projet'!$B$16,Paramètres!$A$1:$I$89,3,0)*VLOOKUP('Données projet'!$B$16,Paramètres!$A$1:$I$89,5,0)</f>
        <v>2.0129819841893681</v>
      </c>
      <c r="FG8" s="14">
        <f t="shared" si="47"/>
        <v>0.85511591611441595</v>
      </c>
      <c r="FH8" s="22">
        <f t="shared" si="22"/>
        <v>4.9952705096957573</v>
      </c>
      <c r="FI8" s="62">
        <f t="shared" si="23"/>
        <v>167.16433669791098</v>
      </c>
      <c r="FJ8" s="62">
        <f ca="1">AVERAGE(OFFSET($FI$3,0,0,'Données projet'!$E$16+1,1))-AVERAGE(OFFSET($H$3,0,0,'Données projet'!$E$16+1,1))</f>
        <v>248.75689726928428</v>
      </c>
      <c r="FK8" s="62">
        <f t="shared" si="48"/>
        <v>232.02291680388336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projet'!$B$16,Paramètres!$A$1:$I$89,3,0)*0.475*44/12</f>
        <v>0</v>
      </c>
      <c r="FR8" s="23">
        <f>EXP(-LN(2)/25)*FR7+(1-EXP(-LN(2)/25))/(LN(2)/25)*Calculateur!FM8*Calculateur!FO8*VLOOKUP('Données projet'!$B$16,Paramètres!$A$1:$I$89,3,0)*0.475*44/12</f>
        <v>0</v>
      </c>
      <c r="FS8" s="23">
        <f>EXP(-LN(2)/2)*FS7+(1-EXP(-LN(2)/2))/(LN(2)/2)*FM8*FP8*VLOOKUP('Données projet'!$B$16,Paramètres!$A$1:$I$89,3,0)*0.475*44/12</f>
        <v>0</v>
      </c>
      <c r="FT8" s="24">
        <f t="shared" si="24"/>
        <v>0</v>
      </c>
      <c r="FU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42.561260475573853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5</v>
      </c>
      <c r="FZ8" s="13">
        <f>IF('Données projet'!$A$244&gt;35,FZ7+FY8-GH7,IF(A8&lt;'Données projet'!$A$244,$FW$205^A8,IF(A8='Données projet'!$A$244,'Données projet'!$B$244,FZ7+FY8-GH7)))</f>
        <v>2.3585748082178499</v>
      </c>
      <c r="GA8" s="18">
        <f>FZ8*VLOOKUP('Données projet'!$B$17,Paramètres!$A$1:$I$89,3,0)*VLOOKUP('Données projet'!$B$17,Paramètres!$A$1:$I$89,5,0)</f>
        <v>1.4104277353142742</v>
      </c>
      <c r="GB8" s="14">
        <f t="shared" si="49"/>
        <v>0.62447990330771908</v>
      </c>
      <c r="GC8" s="22">
        <f t="shared" si="25"/>
        <v>3.5441308039333044</v>
      </c>
      <c r="GD8" s="62">
        <f t="shared" si="26"/>
        <v>165.71319699214854</v>
      </c>
      <c r="GE8" s="62">
        <f ca="1">AVERAGE(OFFSET($GD$3,0,0,'Données projet'!$E$17+1,1))-AVERAGE(OFFSET($H$3,0,0,'Données projet'!$E$17+1,1))</f>
        <v>315.909549580511</v>
      </c>
      <c r="GF8" s="62">
        <f t="shared" si="50"/>
        <v>208.56856525402051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projet'!$B$17,Paramètres!$A$1:$I$89,3,0)*0.475*44/12</f>
        <v>0</v>
      </c>
      <c r="GM8" s="23">
        <f>EXP(-LN(2)/25)*GM7+(1-EXP(-LN(2)/25))/(LN(2)/25)*Calculateur!GH8*Calculateur!GJ8*VLOOKUP('Données projet'!$B$17,Paramètres!$A$1:$I$89,3,0)*0.475*44/12</f>
        <v>0</v>
      </c>
      <c r="GN8" s="23">
        <f>EXP(-LN(2)/2)*GN7+(1-EXP(-LN(2)/2))/(LN(2)/2)*GH8*GK8*VLOOKUP('Données projet'!$B$17,Paramètres!$A$1:$I$89,3,0)*0.475*44/12</f>
        <v>0</v>
      </c>
      <c r="GO8" s="23">
        <f t="shared" si="27"/>
        <v>0</v>
      </c>
      <c r="GP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42.561260475573853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1.6346153846153846</v>
      </c>
      <c r="GU8" s="13">
        <f>IF('Données projet'!$A$270&gt;35,GU7+GT8-HC7,IF(A8&lt;'Données projet'!$A$270,$GR$205^A8,IF(A8='Données projet'!$A$270,'Données projet'!$B$270,GU7+GT8-HC7)))</f>
        <v>2.3911751815725792</v>
      </c>
      <c r="GV8" s="18">
        <f>GU8*VLOOKUP('Données projet'!$B$18,Paramètres!$A$1:$I$89,3,0)*VLOOKUP('Données projet'!$B$18,Paramètres!$A$1:$I$89,5,0)</f>
        <v>1.6040003117988864</v>
      </c>
      <c r="GW8" s="14">
        <f t="shared" si="51"/>
        <v>0.69963369196910608</v>
      </c>
      <c r="GX8" s="22">
        <f t="shared" si="28"/>
        <v>4.0121625565625862</v>
      </c>
      <c r="GY8" s="62">
        <f t="shared" si="29"/>
        <v>166.1812287447778</v>
      </c>
      <c r="GZ8" s="62">
        <f ca="1">AVERAGE(OFFSET($GY$3,0,0,'Données projet'!$E$18+1,1))-AVERAGE(OFFSET($H$3,0,0,'Données projet'!$E$18+1,1))</f>
        <v>254.35742752782755</v>
      </c>
      <c r="HA8" s="62">
        <f t="shared" si="52"/>
        <v>171.79611712137395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>
        <f>EXP(-LN(2)/35)*HG7+(1-EXP(-LN(2)/35))/(LN(2)/35)*HC8*HD8*VLOOKUP('Données projet'!$B$18,Paramètres!$A$1:$I$89,3,0)*0.475*44/12</f>
        <v>0</v>
      </c>
      <c r="HH8" s="23">
        <f>EXP(-LN(2)/25)*HH7+(1-EXP(-LN(2)/25))/(LN(2)/25)*Calculateur!HC8*Calculateur!HE8*VLOOKUP('Données projet'!$B$18,Paramètres!$A$1:$I$89,3,0)*0.475*44/12</f>
        <v>0</v>
      </c>
      <c r="HI8" s="23">
        <f>EXP(-LN(2)/2)*HI7+(1-EXP(-LN(2)/2))/(LN(2)/2)*HC8*HF8*VLOOKUP('Données projet'!$B$18,Paramètres!$A$1:$I$89,3,0)*0.475*44/12</f>
        <v>0</v>
      </c>
      <c r="HJ8" s="24">
        <f t="shared" si="30"/>
        <v>0</v>
      </c>
    </row>
    <row r="9" spans="1:218" s="5" customFormat="1" x14ac:dyDescent="0.3">
      <c r="A9" s="11">
        <f t="shared" si="31"/>
        <v>6</v>
      </c>
      <c r="B9" s="76">
        <f>'Scénario référence'!$B$16*5+'Scénario référence'!$B$17*0+'Scénario référence'!$B$18*5</f>
        <v>3.9405000000000001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14.448500000000001</v>
      </c>
      <c r="H9" s="69">
        <f t="shared" si="1"/>
        <v>161.30656666666667</v>
      </c>
      <c r="I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43.037261262491036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1.4025641025641027</v>
      </c>
      <c r="N9" s="14">
        <f>IF('Données projet'!$A$36&gt;35,N8+M9-V8,IF(A9&lt;'Données projet'!$A$36,$K$205^A9,IF(A9='Données projet'!$A$36,'Données projet'!$B$36,N8+M9-V8)))</f>
        <v>3.3822491113439219</v>
      </c>
      <c r="O9" s="14">
        <f>N9*VLOOKUP('Données projet'!$B$9,Paramètres!$A$1:$I$89,3,0)*VLOOKUP('Données projet'!$B$9,Paramètres!$A$1:$I$89,5,0)</f>
        <v>1.9786157301361944</v>
      </c>
      <c r="P9" s="14">
        <f t="shared" si="33"/>
        <v>0.84220351306732277</v>
      </c>
      <c r="Q9" s="22">
        <f t="shared" si="2"/>
        <v>4.9129268485794588</v>
      </c>
      <c r="R9" s="62">
        <f t="shared" si="0"/>
        <v>170.04955147771324</v>
      </c>
      <c r="S9" s="62">
        <f ca="1">AVERAGE(OFFSET($R$3,0,0,'Données projet'!$E$9+1,1))-AVERAGE(OFFSET($H$3,0,0,'Données projet'!$E$9+1,1))</f>
        <v>210.54472399593521</v>
      </c>
      <c r="T9" s="62">
        <f t="shared" si="34"/>
        <v>181.14158435194193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43.037261262491036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4.0533333333333328</v>
      </c>
      <c r="AI9" s="14">
        <f>IF('Données projet'!$A$62&gt;35,AI8+AH9-AQ8,IF(A9&lt;'Données projet'!$A$62,$AF$205^A9,IF(A9='Données projet'!$A$62,'Données projet'!$B$62,AI8+AH9-AQ8)))</f>
        <v>5.1708439528202996</v>
      </c>
      <c r="AJ9" s="14">
        <f>AI9*VLOOKUP('Données projet'!$B$10,Paramètres!$A$1:$I$89,3,0)*VLOOKUP('Données projet'!$B$10,Paramètres!$A$1:$I$89,5,0)</f>
        <v>2.6888388554665559</v>
      </c>
      <c r="AK9" s="14">
        <f t="shared" si="35"/>
        <v>1.1043722880138884</v>
      </c>
      <c r="AL9" s="22">
        <f t="shared" si="4"/>
        <v>6.6065094082284403</v>
      </c>
      <c r="AM9" s="62">
        <f t="shared" si="5"/>
        <v>171.74313403736224</v>
      </c>
      <c r="AN9" s="62">
        <f ca="1">AVERAGE(OFFSET($AM$3,0,0,'Données projet'!$E$10+1,1))-AVERAGE(OFFSET($H$3,0,0,'Données projet'!$E$10+1,1))</f>
        <v>289.05608923588198</v>
      </c>
      <c r="AO9" s="62">
        <f t="shared" si="36"/>
        <v>220.06639020312738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43.037261262491036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1.5341666666666667</v>
      </c>
      <c r="BD9" s="13">
        <f>IF('Données projet'!$A$88&gt;35,BD8+BC9-BL8,IF(A9&lt;'Données projet'!$A$88,$BA$205^A9,IF(A9='Données projet'!$A$88,'Données projet'!$B$88,BD8+BC9-BL8)))</f>
        <v>5.1466368528443578</v>
      </c>
      <c r="BE9" s="14">
        <f>BD9*VLOOKUP('Données projet'!$B$11,Paramètres!$A$1:$I$89,3,0)*VLOOKUP('Données projet'!$B$11,Paramètres!$A$1:$I$89,5,0)</f>
        <v>5.9289256544766999</v>
      </c>
      <c r="BF9" s="14">
        <f t="shared" si="37"/>
        <v>2.2210261019715896</v>
      </c>
      <c r="BG9" s="22">
        <f t="shared" si="7"/>
        <v>14.194499309147433</v>
      </c>
      <c r="BH9" s="62">
        <f t="shared" si="8"/>
        <v>179.33112393828122</v>
      </c>
      <c r="BI9" s="62">
        <f ca="1">AVERAGE(OFFSET($BH$3,0,0,'Données projet'!$E$11+1,1))-AVERAGE(OFFSET($H$3,0,0,'Données projet'!$E$11+1,1))</f>
        <v>299.54950406029354</v>
      </c>
      <c r="BJ9" s="62">
        <f t="shared" si="38"/>
        <v>208.26364698165739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43.037261262491036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1.8269230769230771</v>
      </c>
      <c r="BY9" s="13">
        <f>IF('Données projet'!$A$114&gt;35,BY8+BX9-CG8,IF(A9&lt;'Données projet'!$A$114,$BV$205^A9,IF(A9='Données projet'!$A$114,'Données projet'!$B$114,BY8+BX9-CG8)))</f>
        <v>2.943235934229389</v>
      </c>
      <c r="BZ9" s="14">
        <f>BY9*VLOOKUP('Données projet'!$B$12,Paramètres!$A$1:$I$89,3,0)*VLOOKUP('Données projet'!$B$12,Paramètres!$A$1:$I$89,5,0)</f>
        <v>3.1680991596045138</v>
      </c>
      <c r="CA9" s="14">
        <f t="shared" si="39"/>
        <v>1.2766088615847033</v>
      </c>
      <c r="CB9" s="22">
        <f t="shared" si="10"/>
        <v>7.7411998035712202</v>
      </c>
      <c r="CC9" s="62">
        <f t="shared" si="11"/>
        <v>172.87782443270501</v>
      </c>
      <c r="CD9" s="62">
        <f ca="1">AVERAGE(OFFSET($CC$3,0,0,'Données projet'!$E$12+1,1))-AVERAGE(OFFSET($H$3,0,0,'Données projet'!$E$12+1,1))</f>
        <v>441.30518831297212</v>
      </c>
      <c r="CE9" s="62">
        <f t="shared" si="40"/>
        <v>270.42872405271851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43.037261262491036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0.6</v>
      </c>
      <c r="CT9" s="13">
        <f>IF('Données projet'!$A$140&gt;35,CT8+CS9-DB8,IF(A9&lt;'Données projet'!$A$140,$CQ$205^A9,IF(A9='Données projet'!$A$140,'Données projet'!$B$140,CT8+CS9-DB8)))</f>
        <v>2.4082246852806919</v>
      </c>
      <c r="CU9" s="18">
        <f>CT9*VLOOKUP('Données projet'!$B$13,Paramètres!$A$1:$I$89,3,0)*VLOOKUP('Données projet'!$B$13,Paramètres!$A$1:$I$89,5,0)</f>
        <v>2.1038250850612128</v>
      </c>
      <c r="CV9" s="14">
        <f t="shared" si="41"/>
        <v>0.88912612901456256</v>
      </c>
      <c r="CW9" s="22">
        <f t="shared" si="13"/>
        <v>5.2127233645153082</v>
      </c>
      <c r="CX9" s="62">
        <f t="shared" si="14"/>
        <v>170.3493479936491</v>
      </c>
      <c r="CY9" s="62">
        <f ca="1">AVERAGE(OFFSET($CX$3,0,0,'Données projet'!$E$13+1,1))-AVERAGE(OFFSET($H$3,0,0,'Données projet'!$E$13+1,1))</f>
        <v>310.81258463659196</v>
      </c>
      <c r="CZ9" s="62">
        <f t="shared" si="42"/>
        <v>287.31099756692083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43.037261262491036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1.8269230769230771</v>
      </c>
      <c r="DO9" s="13">
        <f>IF('Données projet'!$A$166&gt;35,DO8+DN9-DW8,IF(A9&lt;'Données projet'!$A$166,$DL$205^A9,IF(A9='Données projet'!$A$166,'Données projet'!$B$166,DO8+DN9-DW8)))</f>
        <v>2.943235934229389</v>
      </c>
      <c r="DP9" s="18">
        <f>DO9*VLOOKUP('Données projet'!$B$14,Paramètres!$A$1:$I$89,3,0)*VLOOKUP('Données projet'!$B$14,Paramètres!$A$1:$I$89,5,0)</f>
        <v>3.0762701984565579</v>
      </c>
      <c r="DQ9" s="14">
        <f t="shared" si="43"/>
        <v>1.2438571125167652</v>
      </c>
      <c r="DR9" s="22">
        <f t="shared" si="16"/>
        <v>7.5242217332785373</v>
      </c>
      <c r="DS9" s="62">
        <f t="shared" si="17"/>
        <v>172.66084636241231</v>
      </c>
      <c r="DT9" s="62">
        <f ca="1">AVERAGE(OFFSET($DS$3,0,0,'Données projet'!$E$14+1,1))-AVERAGE(OFFSET($H$3,0,0,'Données projet'!$E$14+1,1))</f>
        <v>431.19274104373625</v>
      </c>
      <c r="DU9" s="62">
        <f t="shared" si="44"/>
        <v>264.67919175178133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43.037261262491036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3.4425641025641025</v>
      </c>
      <c r="EJ9" s="13">
        <f>IF('Données projet'!$A$192&gt;35,EJ8+EI9-ER8,IF(A9&lt;'Données projet'!$A$192,$EG$205^A9,IF(A9='Données projet'!$A$192,'Données projet'!$B$192,EJ8+EI9-ER8)))</f>
        <v>2.5281373108456551</v>
      </c>
      <c r="EK9" s="18">
        <f>EJ9*VLOOKUP('Données projet'!$B$15,Paramètres!$A$1:$I$89,3,0)*VLOOKUP('Données projet'!$B$15,Paramètres!$A$1:$I$89,5,0)</f>
        <v>1.1831682614757666</v>
      </c>
      <c r="EL9" s="14">
        <f t="shared" si="45"/>
        <v>0.53468249033221249</v>
      </c>
      <c r="EM9" s="22">
        <f t="shared" si="19"/>
        <v>2.9919233927322302</v>
      </c>
      <c r="EN9" s="62">
        <f t="shared" si="20"/>
        <v>168.12854802186601</v>
      </c>
      <c r="EO9" s="62">
        <f ca="1">AVERAGE(OFFSET($EN$3,0,0,'Données projet'!$E$15+1,1))-AVERAGE(OFFSET($H$3,0,0,'Données projet'!$E$15+1,1))</f>
        <v>291.68530745507815</v>
      </c>
      <c r="EP9" s="62">
        <f t="shared" si="46"/>
        <v>175.95121106728979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43.037261262491036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1.9333333333333333</v>
      </c>
      <c r="FE9" s="13">
        <f>IF('Données projet'!$A$218&gt;35,FE8+FD9-FM8,IF(A9&lt;'Données projet'!$A$218,$FB$205^A9,IF(A9='Données projet'!$A$218,'Données projet'!$B$218,FE8+FD9-FM8)))</f>
        <v>3.845556523418777</v>
      </c>
      <c r="FF9" s="18">
        <f>FE9*VLOOKUP('Données projet'!$B$16,Paramètres!$A$1:$I$89,3,0)*VLOOKUP('Données projet'!$B$16,Paramètres!$A$1:$I$89,5,0)</f>
        <v>2.5196086341439825</v>
      </c>
      <c r="FG9" s="14">
        <f t="shared" si="47"/>
        <v>1.0427254686544836</v>
      </c>
      <c r="FH9" s="22">
        <f t="shared" si="22"/>
        <v>6.2043985623739948</v>
      </c>
      <c r="FI9" s="62">
        <f t="shared" si="23"/>
        <v>171.34102319150779</v>
      </c>
      <c r="FJ9" s="62">
        <f ca="1">AVERAGE(OFFSET($FI$3,0,0,'Données projet'!$E$16+1,1))-AVERAGE(OFFSET($H$3,0,0,'Données projet'!$E$16+1,1))</f>
        <v>248.75689726928428</v>
      </c>
      <c r="FK9" s="62">
        <f t="shared" si="48"/>
        <v>232.02291680388336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projet'!$B$16,Paramètres!$A$1:$I$89,3,0)*0.475*44/12</f>
        <v>0</v>
      </c>
      <c r="FR9" s="23">
        <f>EXP(-LN(2)/25)*FR8+(1-EXP(-LN(2)/25))/(LN(2)/25)*Calculateur!FM9*Calculateur!FO9*VLOOKUP('Données projet'!$B$16,Paramètres!$A$1:$I$89,3,0)*0.475*44/12</f>
        <v>0</v>
      </c>
      <c r="FS9" s="23">
        <f>EXP(-LN(2)/2)*FS8+(1-EXP(-LN(2)/2))/(LN(2)/2)*FM9*FP9*VLOOKUP('Données projet'!$B$16,Paramètres!$A$1:$I$89,3,0)*0.475*44/12</f>
        <v>0</v>
      </c>
      <c r="FT9" s="24">
        <f t="shared" si="24"/>
        <v>0</v>
      </c>
      <c r="FU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43.037261262491036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5</v>
      </c>
      <c r="FZ9" s="13">
        <f>IF('Données projet'!$A$244&gt;35,FZ8+FY9-GH8,IF(A9&lt;'Données projet'!$A$244,$FW$205^A9,IF(A9='Données projet'!$A$244,'Données projet'!$B$244,FZ8+FY9-GH8)))</f>
        <v>2.8001389757783652</v>
      </c>
      <c r="GA9" s="18">
        <f>FZ9*VLOOKUP('Données projet'!$B$17,Paramètres!$A$1:$I$89,3,0)*VLOOKUP('Données projet'!$B$17,Paramètres!$A$1:$I$89,5,0)</f>
        <v>1.6744831075154625</v>
      </c>
      <c r="GB9" s="14">
        <f t="shared" si="49"/>
        <v>0.72673004222421789</v>
      </c>
      <c r="GC9" s="22">
        <f t="shared" si="25"/>
        <v>4.1821129024632766</v>
      </c>
      <c r="GD9" s="62">
        <f t="shared" si="26"/>
        <v>169.31873753159707</v>
      </c>
      <c r="GE9" s="62">
        <f ca="1">AVERAGE(OFFSET($GD$3,0,0,'Données projet'!$E$17+1,1))-AVERAGE(OFFSET($H$3,0,0,'Données projet'!$E$17+1,1))</f>
        <v>315.909549580511</v>
      </c>
      <c r="GF9" s="62">
        <f t="shared" si="50"/>
        <v>208.56856525402051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projet'!$B$17,Paramètres!$A$1:$I$89,3,0)*0.475*44/12</f>
        <v>0</v>
      </c>
      <c r="GM9" s="23">
        <f>EXP(-LN(2)/25)*GM8+(1-EXP(-LN(2)/25))/(LN(2)/25)*Calculateur!GH9*Calculateur!GJ9*VLOOKUP('Données projet'!$B$17,Paramètres!$A$1:$I$89,3,0)*0.475*44/12</f>
        <v>0</v>
      </c>
      <c r="GN9" s="23">
        <f>EXP(-LN(2)/2)*GN8+(1-EXP(-LN(2)/2))/(LN(2)/2)*GH9*GK9*VLOOKUP('Données projet'!$B$17,Paramètres!$A$1:$I$89,3,0)*0.475*44/12</f>
        <v>0</v>
      </c>
      <c r="GO9" s="23">
        <f t="shared" si="27"/>
        <v>0</v>
      </c>
      <c r="GP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43.037261262491036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1.6346153846153846</v>
      </c>
      <c r="GU9" s="13">
        <f>IF('Données projet'!$A$270&gt;35,GU8+GT9-HC8,IF(A9&lt;'Données projet'!$A$270,$GR$205^A9,IF(A9='Données projet'!$A$270,'Données projet'!$B$270,GU8+GT9-HC8)))</f>
        <v>2.8466473785911686</v>
      </c>
      <c r="GV9" s="18">
        <f>GU9*VLOOKUP('Données projet'!$B$18,Paramètres!$A$1:$I$89,3,0)*VLOOKUP('Données projet'!$B$18,Paramètres!$A$1:$I$89,5,0)</f>
        <v>1.909531061558956</v>
      </c>
      <c r="GW9" s="14">
        <f t="shared" si="51"/>
        <v>0.81616679340497278</v>
      </c>
      <c r="GX9" s="22">
        <f t="shared" si="28"/>
        <v>4.7472570973955088</v>
      </c>
      <c r="GY9" s="62">
        <f t="shared" si="29"/>
        <v>169.8838817265293</v>
      </c>
      <c r="GZ9" s="62">
        <f ca="1">AVERAGE(OFFSET($GY$3,0,0,'Données projet'!$E$18+1,1))-AVERAGE(OFFSET($H$3,0,0,'Données projet'!$E$18+1,1))</f>
        <v>254.35742752782755</v>
      </c>
      <c r="HA9" s="62">
        <f t="shared" si="52"/>
        <v>171.79611712137395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>
        <f>EXP(-LN(2)/35)*HG8+(1-EXP(-LN(2)/35))/(LN(2)/35)*HC9*HD9*VLOOKUP('Données projet'!$B$18,Paramètres!$A$1:$I$89,3,0)*0.475*44/12</f>
        <v>0</v>
      </c>
      <c r="HH9" s="23">
        <f>EXP(-LN(2)/25)*HH8+(1-EXP(-LN(2)/25))/(LN(2)/25)*Calculateur!HC9*Calculateur!HE9*VLOOKUP('Données projet'!$B$18,Paramètres!$A$1:$I$89,3,0)*0.475*44/12</f>
        <v>0</v>
      </c>
      <c r="HI9" s="23">
        <f>EXP(-LN(2)/2)*HI8+(1-EXP(-LN(2)/2))/(LN(2)/2)*HC9*HF9*VLOOKUP('Données projet'!$B$18,Paramètres!$A$1:$I$89,3,0)*0.475*44/12</f>
        <v>0</v>
      </c>
      <c r="HJ9" s="24">
        <f t="shared" si="30"/>
        <v>0</v>
      </c>
    </row>
    <row r="10" spans="1:218" s="5" customFormat="1" x14ac:dyDescent="0.3">
      <c r="A10" s="11">
        <f t="shared" si="31"/>
        <v>7</v>
      </c>
      <c r="B10" s="76">
        <f>'Scénario référence'!$B$16*5+'Scénario référence'!$B$17*0+'Scénario référence'!$B$18*5</f>
        <v>3.9405000000000001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14.448500000000001</v>
      </c>
      <c r="H10" s="69">
        <f t="shared" si="1"/>
        <v>161.30656666666667</v>
      </c>
      <c r="I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43.505004499933541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1.4025641025641027</v>
      </c>
      <c r="N10" s="14">
        <f>IF('Données projet'!$A$36&gt;35,N9+M10-V9,IF(A10&lt;'Données projet'!$A$36,$K$205^A10,IF(A10='Données projet'!$A$36,'Données projet'!$B$36,N9+M10-V9)))</f>
        <v>4.1438738244270077</v>
      </c>
      <c r="O10" s="14">
        <f>N10*VLOOKUP('Données projet'!$B$9,Paramètres!$A$1:$I$89,3,0)*VLOOKUP('Données projet'!$B$9,Paramètres!$A$1:$I$89,5,0)</f>
        <v>2.4241661872897997</v>
      </c>
      <c r="P10" s="14">
        <f t="shared" si="33"/>
        <v>1.007746717167324</v>
      </c>
      <c r="Q10" s="22">
        <f t="shared" si="2"/>
        <v>5.977248308596157</v>
      </c>
      <c r="R10" s="62">
        <f t="shared" si="0"/>
        <v>174.05115369724138</v>
      </c>
      <c r="S10" s="62">
        <f ca="1">AVERAGE(OFFSET($R$3,0,0,'Données projet'!$E$9+1,1))-AVERAGE(OFFSET($H$3,0,0,'Données projet'!$E$9+1,1))</f>
        <v>210.54472399593521</v>
      </c>
      <c r="T10" s="62">
        <f t="shared" si="34"/>
        <v>181.14158435194193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43.505004499933541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4.0533333333333328</v>
      </c>
      <c r="AI10" s="14">
        <f>IF('Données projet'!$A$62&gt;35,AI9+AH10-AQ9,IF(A10&lt;'Données projet'!$A$62,$AF$205^A10,IF(A10='Données projet'!$A$62,'Données projet'!$B$62,AI9+AH10-AQ9)))</f>
        <v>6.7996778417984078</v>
      </c>
      <c r="AJ10" s="14">
        <f>AI10*VLOOKUP('Données projet'!$B$10,Paramètres!$A$1:$I$89,3,0)*VLOOKUP('Données projet'!$B$10,Paramètres!$A$1:$I$89,5,0)</f>
        <v>3.5358324777351724</v>
      </c>
      <c r="AK10" s="14">
        <f t="shared" si="35"/>
        <v>1.4066929596735296</v>
      </c>
      <c r="AL10" s="22">
        <f t="shared" si="4"/>
        <v>8.6082318034868219</v>
      </c>
      <c r="AM10" s="62">
        <f t="shared" si="5"/>
        <v>176.68213719213205</v>
      </c>
      <c r="AN10" s="62">
        <f ca="1">AVERAGE(OFFSET($AM$3,0,0,'Données projet'!$E$10+1,1))-AVERAGE(OFFSET($H$3,0,0,'Données projet'!$E$10+1,1))</f>
        <v>289.05608923588198</v>
      </c>
      <c r="AO10" s="62">
        <f t="shared" si="36"/>
        <v>220.06639020312738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43.505004499933541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1.5341666666666667</v>
      </c>
      <c r="BD10" s="13">
        <f>IF('Données projet'!$A$88&gt;35,BD9+BC10-BL9,IF(A10&lt;'Données projet'!$A$88,$BA$205^A10,IF(A10='Données projet'!$A$88,'Données projet'!$B$88,BD9+BC10-BL9)))</f>
        <v>6.7625545245201764</v>
      </c>
      <c r="BE10" s="14">
        <f>BD10*VLOOKUP('Données projet'!$B$11,Paramètres!$A$1:$I$89,3,0)*VLOOKUP('Données projet'!$B$11,Paramètres!$A$1:$I$89,5,0)</f>
        <v>7.7904628122472417</v>
      </c>
      <c r="BF10" s="14">
        <f t="shared" si="37"/>
        <v>2.8270751967810739</v>
      </c>
      <c r="BG10" s="22">
        <f t="shared" si="7"/>
        <v>18.492212032390984</v>
      </c>
      <c r="BH10" s="62">
        <f t="shared" si="8"/>
        <v>186.56611742103621</v>
      </c>
      <c r="BI10" s="62">
        <f ca="1">AVERAGE(OFFSET($BH$3,0,0,'Données projet'!$E$11+1,1))-AVERAGE(OFFSET($H$3,0,0,'Données projet'!$E$11+1,1))</f>
        <v>299.54950406029354</v>
      </c>
      <c r="BJ10" s="62">
        <f t="shared" si="38"/>
        <v>208.26364698165739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43.505004499933541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1.8269230769230771</v>
      </c>
      <c r="BY10" s="13">
        <f>IF('Données projet'!$A$114&gt;35,BY9+BX10-CG9,IF(A10&lt;'Données projet'!$A$114,$BV$205^A10,IF(A10='Données projet'!$A$114,'Données projet'!$B$114,BY9+BX10-CG9)))</f>
        <v>3.5234051927544003</v>
      </c>
      <c r="BZ10" s="14">
        <f>BY10*VLOOKUP('Données projet'!$B$12,Paramètres!$A$1:$I$89,3,0)*VLOOKUP('Données projet'!$B$12,Paramètres!$A$1:$I$89,5,0)</f>
        <v>3.7925933494808359</v>
      </c>
      <c r="CA10" s="14">
        <f t="shared" si="39"/>
        <v>1.4965807720053963</v>
      </c>
      <c r="CB10" s="22">
        <f t="shared" si="10"/>
        <v>9.2119782615885182</v>
      </c>
      <c r="CC10" s="62">
        <f t="shared" si="11"/>
        <v>177.28588365023373</v>
      </c>
      <c r="CD10" s="62">
        <f ca="1">AVERAGE(OFFSET($CC$3,0,0,'Données projet'!$E$12+1,1))-AVERAGE(OFFSET($H$3,0,0,'Données projet'!$E$12+1,1))</f>
        <v>441.30518831297212</v>
      </c>
      <c r="CE10" s="62">
        <f t="shared" si="40"/>
        <v>270.42872405271851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43.505004499933541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0.6</v>
      </c>
      <c r="CT10" s="13">
        <f>IF('Données projet'!$A$140&gt;35,CT9+CS10-DB9,IF(A10&lt;'Données projet'!$A$140,$CQ$205^A10,IF(A10='Données projet'!$A$140,'Données projet'!$B$140,CT9+CS10-DB9)))</f>
        <v>2.788130973628832</v>
      </c>
      <c r="CU10" s="18">
        <f>CT10*VLOOKUP('Données projet'!$B$13,Paramètres!$A$1:$I$89,3,0)*VLOOKUP('Données projet'!$B$13,Paramètres!$A$1:$I$89,5,0)</f>
        <v>2.4357112185621479</v>
      </c>
      <c r="CV10" s="14">
        <f t="shared" si="41"/>
        <v>1.0119862660170416</v>
      </c>
      <c r="CW10" s="22">
        <f t="shared" si="13"/>
        <v>6.0047397856420881</v>
      </c>
      <c r="CX10" s="62">
        <f t="shared" si="14"/>
        <v>174.07864517428732</v>
      </c>
      <c r="CY10" s="62">
        <f ca="1">AVERAGE(OFFSET($CX$3,0,0,'Données projet'!$E$13+1,1))-AVERAGE(OFFSET($H$3,0,0,'Données projet'!$E$13+1,1))</f>
        <v>310.81258463659196</v>
      </c>
      <c r="CZ10" s="62">
        <f t="shared" si="42"/>
        <v>287.31099756692083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43.505004499933541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1.8269230769230771</v>
      </c>
      <c r="DO10" s="13">
        <f>IF('Données projet'!$A$166&gt;35,DO9+DN10-DW9,IF(A10&lt;'Données projet'!$A$166,$DL$205^A10,IF(A10='Données projet'!$A$166,'Données projet'!$B$166,DO9+DN10-DW9)))</f>
        <v>3.5234051927544003</v>
      </c>
      <c r="DP10" s="18">
        <f>DO10*VLOOKUP('Données projet'!$B$14,Paramètres!$A$1:$I$89,3,0)*VLOOKUP('Données projet'!$B$14,Paramètres!$A$1:$I$89,5,0)</f>
        <v>3.6826631074668992</v>
      </c>
      <c r="DQ10" s="14">
        <f t="shared" si="43"/>
        <v>1.4581855834871391</v>
      </c>
      <c r="DR10" s="22">
        <f t="shared" si="16"/>
        <v>8.9536448034116152</v>
      </c>
      <c r="DS10" s="62">
        <f t="shared" si="17"/>
        <v>177.02755019205682</v>
      </c>
      <c r="DT10" s="62">
        <f ca="1">AVERAGE(OFFSET($DS$3,0,0,'Données projet'!$E$14+1,1))-AVERAGE(OFFSET($H$3,0,0,'Données projet'!$E$14+1,1))</f>
        <v>431.19274104373625</v>
      </c>
      <c r="DU10" s="62">
        <f t="shared" si="44"/>
        <v>264.67919175178133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43.505004499933541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3.4425641025641025</v>
      </c>
      <c r="EJ10" s="13">
        <f>IF('Données projet'!$A$192&gt;35,EJ9+EI10-ER9,IF(A10&lt;'Données projet'!$A$192,$EG$205^A10,IF(A10='Données projet'!$A$192,'Données projet'!$B$192,EJ9+EI10-ER9)))</f>
        <v>2.9507614507509188</v>
      </c>
      <c r="EK10" s="18">
        <f>EJ10*VLOOKUP('Données projet'!$B$15,Paramètres!$A$1:$I$89,3,0)*VLOOKUP('Données projet'!$B$15,Paramètres!$A$1:$I$89,5,0)</f>
        <v>1.38095635895143</v>
      </c>
      <c r="EL10" s="14">
        <f t="shared" si="45"/>
        <v>0.61293591895758326</v>
      </c>
      <c r="EM10" s="22">
        <f t="shared" si="19"/>
        <v>3.472695717358198</v>
      </c>
      <c r="EN10" s="62">
        <f t="shared" si="20"/>
        <v>171.54660110600341</v>
      </c>
      <c r="EO10" s="62">
        <f ca="1">AVERAGE(OFFSET($EN$3,0,0,'Données projet'!$E$15+1,1))-AVERAGE(OFFSET($H$3,0,0,'Données projet'!$E$15+1,1))</f>
        <v>291.68530745507815</v>
      </c>
      <c r="EP10" s="62">
        <f t="shared" si="46"/>
        <v>175.95121106728979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43.505004499933541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1.9333333333333333</v>
      </c>
      <c r="FE10" s="13">
        <f>IF('Données projet'!$A$218&gt;35,FE9+FD10-FM9,IF(A10&lt;'Données projet'!$A$218,$FB$205^A10,IF(A10='Données projet'!$A$218,'Données projet'!$B$218,FE9+FD10-FM9)))</f>
        <v>4.8134049363569282</v>
      </c>
      <c r="FF10" s="18">
        <f>FE10*VLOOKUP('Données projet'!$B$16,Paramètres!$A$1:$I$89,3,0)*VLOOKUP('Données projet'!$B$16,Paramètres!$A$1:$I$89,5,0)</f>
        <v>3.1537429143010591</v>
      </c>
      <c r="FG10" s="14">
        <f t="shared" si="47"/>
        <v>1.2714959252790159</v>
      </c>
      <c r="FH10" s="22">
        <f t="shared" si="22"/>
        <v>7.7072909789352968</v>
      </c>
      <c r="FI10" s="62">
        <f t="shared" si="23"/>
        <v>175.78119636758052</v>
      </c>
      <c r="FJ10" s="62">
        <f ca="1">AVERAGE(OFFSET($FI$3,0,0,'Données projet'!$E$16+1,1))-AVERAGE(OFFSET($H$3,0,0,'Données projet'!$E$16+1,1))</f>
        <v>248.75689726928428</v>
      </c>
      <c r="FK10" s="62">
        <f t="shared" si="48"/>
        <v>232.02291680388336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projet'!$B$16,Paramètres!$A$1:$I$89,3,0)*0.475*44/12</f>
        <v>0</v>
      </c>
      <c r="FR10" s="23">
        <f>EXP(-LN(2)/25)*FR9+(1-EXP(-LN(2)/25))/(LN(2)/25)*Calculateur!FM10*Calculateur!FO10*VLOOKUP('Données projet'!$B$16,Paramètres!$A$1:$I$89,3,0)*0.475*44/12</f>
        <v>0</v>
      </c>
      <c r="FS10" s="23">
        <f>EXP(-LN(2)/2)*FS9+(1-EXP(-LN(2)/2))/(LN(2)/2)*FM10*FP10*VLOOKUP('Données projet'!$B$16,Paramètres!$A$1:$I$89,3,0)*0.475*44/12</f>
        <v>0</v>
      </c>
      <c r="FT10" s="24">
        <f t="shared" si="24"/>
        <v>0</v>
      </c>
      <c r="FU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43.505004499933541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5</v>
      </c>
      <c r="FZ10" s="13">
        <f>IF('Données projet'!$A$244&gt;35,FZ9+FY10-GH9,IF(A10&lt;'Données projet'!$A$244,$FW$205^A10,IF(A10='Données projet'!$A$244,'Données projet'!$B$244,FZ9+FY10-GH9)))</f>
        <v>3.3243712501099933</v>
      </c>
      <c r="GA10" s="18">
        <f>FZ10*VLOOKUP('Données projet'!$B$17,Paramètres!$A$1:$I$89,3,0)*VLOOKUP('Données projet'!$B$17,Paramètres!$A$1:$I$89,5,0)</f>
        <v>1.9879740075657761</v>
      </c>
      <c r="GB10" s="14">
        <f t="shared" si="49"/>
        <v>0.84572225859279326</v>
      </c>
      <c r="GC10" s="22">
        <f t="shared" si="25"/>
        <v>4.9353543302261746</v>
      </c>
      <c r="GD10" s="62">
        <f t="shared" si="26"/>
        <v>173.00925971887139</v>
      </c>
      <c r="GE10" s="62">
        <f ca="1">AVERAGE(OFFSET($GD$3,0,0,'Données projet'!$E$17+1,1))-AVERAGE(OFFSET($H$3,0,0,'Données projet'!$E$17+1,1))</f>
        <v>315.909549580511</v>
      </c>
      <c r="GF10" s="62">
        <f t="shared" si="50"/>
        <v>208.56856525402051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projet'!$B$17,Paramètres!$A$1:$I$89,3,0)*0.475*44/12</f>
        <v>0</v>
      </c>
      <c r="GM10" s="23">
        <f>EXP(-LN(2)/25)*GM9+(1-EXP(-LN(2)/25))/(LN(2)/25)*Calculateur!GH10*Calculateur!GJ10*VLOOKUP('Données projet'!$B$17,Paramètres!$A$1:$I$89,3,0)*0.475*44/12</f>
        <v>0</v>
      </c>
      <c r="GN10" s="23">
        <f>EXP(-LN(2)/2)*GN9+(1-EXP(-LN(2)/2))/(LN(2)/2)*GH10*GK10*VLOOKUP('Données projet'!$B$17,Paramètres!$A$1:$I$89,3,0)*0.475*44/12</f>
        <v>0</v>
      </c>
      <c r="GO10" s="23">
        <f t="shared" si="27"/>
        <v>0</v>
      </c>
      <c r="GP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43.505004499933541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1.6346153846153846</v>
      </c>
      <c r="GU10" s="13">
        <f>IF('Données projet'!$A$270&gt;35,GU9+GT10-HC9,IF(A10&lt;'Données projet'!$A$270,$GR$205^A10,IF(A10='Données projet'!$A$270,'Données projet'!$B$270,GU9+GT10-HC9)))</f>
        <v>3.3888781384518603</v>
      </c>
      <c r="GV10" s="18">
        <f>GU10*VLOOKUP('Données projet'!$B$18,Paramètres!$A$1:$I$89,3,0)*VLOOKUP('Données projet'!$B$18,Paramètres!$A$1:$I$89,5,0)</f>
        <v>2.2732594552735081</v>
      </c>
      <c r="GW10" s="14">
        <f t="shared" si="51"/>
        <v>0.95211000028050363</v>
      </c>
      <c r="GX10" s="22">
        <f t="shared" si="28"/>
        <v>5.6175184684232375</v>
      </c>
      <c r="GY10" s="62">
        <f t="shared" si="29"/>
        <v>173.69142385706846</v>
      </c>
      <c r="GZ10" s="62">
        <f ca="1">AVERAGE(OFFSET($GY$3,0,0,'Données projet'!$E$18+1,1))-AVERAGE(OFFSET($H$3,0,0,'Données projet'!$E$18+1,1))</f>
        <v>254.35742752782755</v>
      </c>
      <c r="HA10" s="62">
        <f t="shared" si="52"/>
        <v>171.79611712137395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>
        <f>EXP(-LN(2)/35)*HG9+(1-EXP(-LN(2)/35))/(LN(2)/35)*HC10*HD10*VLOOKUP('Données projet'!$B$18,Paramètres!$A$1:$I$89,3,0)*0.475*44/12</f>
        <v>0</v>
      </c>
      <c r="HH10" s="23">
        <f>EXP(-LN(2)/25)*HH9+(1-EXP(-LN(2)/25))/(LN(2)/25)*Calculateur!HC10*Calculateur!HE10*VLOOKUP('Données projet'!$B$18,Paramètres!$A$1:$I$89,3,0)*0.475*44/12</f>
        <v>0</v>
      </c>
      <c r="HI10" s="23">
        <f>EXP(-LN(2)/2)*HI9+(1-EXP(-LN(2)/2))/(LN(2)/2)*HC10*HF10*VLOOKUP('Données projet'!$B$18,Paramètres!$A$1:$I$89,3,0)*0.475*44/12</f>
        <v>0</v>
      </c>
      <c r="HJ10" s="24">
        <f t="shared" si="30"/>
        <v>0</v>
      </c>
    </row>
    <row r="11" spans="1:218" s="5" customFormat="1" x14ac:dyDescent="0.3">
      <c r="A11" s="11">
        <f t="shared" si="31"/>
        <v>8</v>
      </c>
      <c r="B11" s="76">
        <f>'Scénario référence'!$B$16*5+'Scénario référence'!$B$17*0+'Scénario référence'!$B$18*5</f>
        <v>3.9405000000000001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14.448500000000001</v>
      </c>
      <c r="H11" s="69">
        <f t="shared" si="1"/>
        <v>161.30656666666667</v>
      </c>
      <c r="I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43.964633437923638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1.4025641025641027</v>
      </c>
      <c r="N11" s="14">
        <f>IF('Données projet'!$A$36&gt;35,N10+M11-V10,IF(A11&lt;'Données projet'!$A$36,$K$205^A11,IF(A11='Données projet'!$A$36,'Données projet'!$B$36,N10+M11-V10)))</f>
        <v>5.07700341029825</v>
      </c>
      <c r="O11" s="14">
        <f>N11*VLOOKUP('Données projet'!$B$9,Paramètres!$A$1:$I$89,3,0)*VLOOKUP('Données projet'!$B$9,Paramètres!$A$1:$I$89,5,0)</f>
        <v>2.9700469950244766</v>
      </c>
      <c r="P11" s="14">
        <f t="shared" si="33"/>
        <v>1.2058290308750339</v>
      </c>
      <c r="Q11" s="22">
        <f t="shared" si="2"/>
        <v>7.272984078441648</v>
      </c>
      <c r="R11" s="62">
        <f t="shared" si="0"/>
        <v>178.25441779527276</v>
      </c>
      <c r="S11" s="62">
        <f ca="1">AVERAGE(OFFSET($R$3,0,0,'Données projet'!$E$9+1,1))-AVERAGE(OFFSET($H$3,0,0,'Données projet'!$E$9+1,1))</f>
        <v>210.54472399593521</v>
      </c>
      <c r="T11" s="62">
        <f t="shared" si="34"/>
        <v>181.14158435194193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43.964633437923638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4.0533333333333328</v>
      </c>
      <c r="AI11" s="14">
        <f>IF('Données projet'!$A$62&gt;35,AI10+AH11-AQ10,IF(A11&lt;'Données projet'!$A$62,$AF$205^A11,IF(A11='Données projet'!$A$62,'Données projet'!$B$62,AI10+AH11-AQ10)))</f>
        <v>8.9416000896770953</v>
      </c>
      <c r="AJ11" s="14">
        <f>AI11*VLOOKUP('Données projet'!$B$10,Paramètres!$A$1:$I$89,3,0)*VLOOKUP('Données projet'!$B$10,Paramètres!$A$1:$I$89,5,0)</f>
        <v>4.6496320466320897</v>
      </c>
      <c r="AK11" s="14">
        <f t="shared" si="35"/>
        <v>1.7917735751534802</v>
      </c>
      <c r="AL11" s="22">
        <f t="shared" si="4"/>
        <v>11.218781457943201</v>
      </c>
      <c r="AM11" s="62">
        <f t="shared" si="5"/>
        <v>182.20021517477431</v>
      </c>
      <c r="AN11" s="62">
        <f ca="1">AVERAGE(OFFSET($AM$3,0,0,'Données projet'!$E$10+1,1))-AVERAGE(OFFSET($H$3,0,0,'Données projet'!$E$10+1,1))</f>
        <v>289.05608923588198</v>
      </c>
      <c r="AO11" s="62">
        <f t="shared" si="36"/>
        <v>220.06639020312738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43.964633437923638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1.5341666666666667</v>
      </c>
      <c r="BD11" s="13">
        <f>IF('Données projet'!$A$88&gt;35,BD10+BC11-BL10,IF(A11&lt;'Données projet'!$A$88,$BA$205^A11,IF(A11='Données projet'!$A$88,'Données projet'!$B$88,BD10+BC11-BL10)))</f>
        <v>8.8858306899648145</v>
      </c>
      <c r="BE11" s="14">
        <f>BD11*VLOOKUP('Données projet'!$B$11,Paramètres!$A$1:$I$89,3,0)*VLOOKUP('Données projet'!$B$11,Paramètres!$A$1:$I$89,5,0)</f>
        <v>10.236476954839466</v>
      </c>
      <c r="BF11" s="14">
        <f t="shared" si="37"/>
        <v>3.5984962811377996</v>
      </c>
      <c r="BG11" s="22">
        <f t="shared" si="7"/>
        <v>24.095911719327074</v>
      </c>
      <c r="BH11" s="62">
        <f t="shared" si="8"/>
        <v>195.07734543615817</v>
      </c>
      <c r="BI11" s="62">
        <f ca="1">AVERAGE(OFFSET($BH$3,0,0,'Données projet'!$E$11+1,1))-AVERAGE(OFFSET($H$3,0,0,'Données projet'!$E$11+1,1))</f>
        <v>299.54950406029354</v>
      </c>
      <c r="BJ11" s="62">
        <f t="shared" si="38"/>
        <v>208.26364698165739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43.964633437923638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1.8269230769230771</v>
      </c>
      <c r="BY11" s="13">
        <f>IF('Données projet'!$A$114&gt;35,BY10+BX11-CG10,IF(A11&lt;'Données projet'!$A$114,$BV$205^A11,IF(A11='Données projet'!$A$114,'Données projet'!$B$114,BY10+BX11-CG10)))</f>
        <v>4.2179371378119113</v>
      </c>
      <c r="BZ11" s="14">
        <f>BY11*VLOOKUP('Données projet'!$B$12,Paramètres!$A$1:$I$89,3,0)*VLOOKUP('Données projet'!$B$12,Paramètres!$A$1:$I$89,5,0)</f>
        <v>4.540187535140741</v>
      </c>
      <c r="CA11" s="14">
        <f t="shared" si="39"/>
        <v>1.754455945383284</v>
      </c>
      <c r="CB11" s="22">
        <f t="shared" si="10"/>
        <v>10.963170728579342</v>
      </c>
      <c r="CC11" s="62">
        <f t="shared" si="11"/>
        <v>181.94460444541045</v>
      </c>
      <c r="CD11" s="62">
        <f ca="1">AVERAGE(OFFSET($CC$3,0,0,'Données projet'!$E$12+1,1))-AVERAGE(OFFSET($H$3,0,0,'Données projet'!$E$12+1,1))</f>
        <v>441.30518831297212</v>
      </c>
      <c r="CE11" s="62">
        <f t="shared" si="40"/>
        <v>270.42872405271851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43.964633437923638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0.6</v>
      </c>
      <c r="CT11" s="13">
        <f>IF('Données projet'!$A$140&gt;35,CT10+CS11-DB10,IF(A11&lt;'Données projet'!$A$140,$CQ$205^A11,IF(A11='Données projet'!$A$140,'Données projet'!$B$140,CT10+CS11-DB10)))</f>
        <v>3.227968874176038</v>
      </c>
      <c r="CU11" s="18">
        <f>CT11*VLOOKUP('Données projet'!$B$13,Paramètres!$A$1:$I$89,3,0)*VLOOKUP('Données projet'!$B$13,Paramètres!$A$1:$I$89,5,0)</f>
        <v>2.8199536084801871</v>
      </c>
      <c r="CV11" s="14">
        <f t="shared" si="41"/>
        <v>1.1518233118873293</v>
      </c>
      <c r="CW11" s="22">
        <f t="shared" si="13"/>
        <v>6.9175114696400923</v>
      </c>
      <c r="CX11" s="62">
        <f t="shared" si="14"/>
        <v>177.8989451864712</v>
      </c>
      <c r="CY11" s="62">
        <f ca="1">AVERAGE(OFFSET($CX$3,0,0,'Données projet'!$E$13+1,1))-AVERAGE(OFFSET($H$3,0,0,'Données projet'!$E$13+1,1))</f>
        <v>310.81258463659196</v>
      </c>
      <c r="CZ11" s="62">
        <f t="shared" si="42"/>
        <v>287.31099756692083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43.964633437923638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1.8269230769230771</v>
      </c>
      <c r="DO11" s="13">
        <f>IF('Données projet'!$A$166&gt;35,DO10+DN11-DW10,IF(A11&lt;'Données projet'!$A$166,$DL$205^A11,IF(A11='Données projet'!$A$166,'Données projet'!$B$166,DO10+DN11-DW10)))</f>
        <v>4.2179371378119113</v>
      </c>
      <c r="DP11" s="18">
        <f>DO11*VLOOKUP('Données projet'!$B$14,Paramètres!$A$1:$I$89,3,0)*VLOOKUP('Données projet'!$B$14,Paramètres!$A$1:$I$89,5,0)</f>
        <v>4.4085878964410101</v>
      </c>
      <c r="DQ11" s="14">
        <f t="shared" si="43"/>
        <v>1.7094448988497224</v>
      </c>
      <c r="DR11" s="22">
        <f t="shared" si="16"/>
        <v>10.655573785131358</v>
      </c>
      <c r="DS11" s="62">
        <f t="shared" si="17"/>
        <v>181.63700750196247</v>
      </c>
      <c r="DT11" s="62">
        <f ca="1">AVERAGE(OFFSET($DS$3,0,0,'Données projet'!$E$14+1,1))-AVERAGE(OFFSET($H$3,0,0,'Données projet'!$E$14+1,1))</f>
        <v>431.19274104373625</v>
      </c>
      <c r="DU11" s="62">
        <f t="shared" si="44"/>
        <v>264.67919175178133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43.964633437923638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3.4425641025641025</v>
      </c>
      <c r="EJ11" s="13">
        <f>IF('Données projet'!$A$192&gt;35,EJ10+EI11-ER10,IF(A11&lt;'Données projet'!$A$192,$EG$205^A11,IF(A11='Données projet'!$A$192,'Données projet'!$B$192,EJ10+EI11-ER10)))</f>
        <v>3.4440349034385327</v>
      </c>
      <c r="EK11" s="18">
        <f>EJ11*VLOOKUP('Données projet'!$B$15,Paramètres!$A$1:$I$89,3,0)*VLOOKUP('Données projet'!$B$15,Paramètres!$A$1:$I$89,5,0)</f>
        <v>1.6118083348092334</v>
      </c>
      <c r="EL11" s="14">
        <f t="shared" si="45"/>
        <v>0.70264212414165761</v>
      </c>
      <c r="EM11" s="22">
        <f t="shared" si="19"/>
        <v>4.0310012160061346</v>
      </c>
      <c r="EN11" s="62">
        <f t="shared" si="20"/>
        <v>175.01243493283724</v>
      </c>
      <c r="EO11" s="62">
        <f ca="1">AVERAGE(OFFSET($EN$3,0,0,'Données projet'!$E$15+1,1))-AVERAGE(OFFSET($H$3,0,0,'Données projet'!$E$15+1,1))</f>
        <v>291.68530745507815</v>
      </c>
      <c r="EP11" s="62">
        <f t="shared" si="46"/>
        <v>175.95121106728979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43.964633437923638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1.9333333333333333</v>
      </c>
      <c r="FE11" s="13">
        <f>IF('Données projet'!$A$218&gt;35,FE10+FD11-FM10,IF(A11&lt;'Données projet'!$A$218,$FB$205^A11,IF(A11='Données projet'!$A$218,'Données projet'!$B$218,FE10+FD11-FM10)))</f>
        <v>6.0248411225399572</v>
      </c>
      <c r="FF11" s="18">
        <f>FE11*VLOOKUP('Données projet'!$B$16,Paramètres!$A$1:$I$89,3,0)*VLOOKUP('Données projet'!$B$16,Paramètres!$A$1:$I$89,5,0)</f>
        <v>3.9474759034881797</v>
      </c>
      <c r="FG11" s="14">
        <f t="shared" si="47"/>
        <v>1.5504578497418948</v>
      </c>
      <c r="FH11" s="22">
        <f t="shared" si="22"/>
        <v>9.5755679535423806</v>
      </c>
      <c r="FI11" s="62">
        <f t="shared" si="23"/>
        <v>180.5570016703735</v>
      </c>
      <c r="FJ11" s="62">
        <f ca="1">AVERAGE(OFFSET($FI$3,0,0,'Données projet'!$E$16+1,1))-AVERAGE(OFFSET($H$3,0,0,'Données projet'!$E$16+1,1))</f>
        <v>248.75689726928428</v>
      </c>
      <c r="FK11" s="62">
        <f t="shared" si="48"/>
        <v>232.02291680388336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projet'!$B$16,Paramètres!$A$1:$I$89,3,0)*0.475*44/12</f>
        <v>0</v>
      </c>
      <c r="FR11" s="23">
        <f>EXP(-LN(2)/25)*FR10+(1-EXP(-LN(2)/25))/(LN(2)/25)*Calculateur!FM11*Calculateur!FO11*VLOOKUP('Données projet'!$B$16,Paramètres!$A$1:$I$89,3,0)*0.475*44/12</f>
        <v>0</v>
      </c>
      <c r="FS11" s="23">
        <f>EXP(-LN(2)/2)*FS10+(1-EXP(-LN(2)/2))/(LN(2)/2)*FM11*FP11*VLOOKUP('Données projet'!$B$16,Paramètres!$A$1:$I$89,3,0)*0.475*44/12</f>
        <v>0</v>
      </c>
      <c r="FT11" s="24">
        <f t="shared" si="24"/>
        <v>0</v>
      </c>
      <c r="FU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43.964633437923638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5</v>
      </c>
      <c r="FZ11" s="13">
        <f>IF('Données projet'!$A$244&gt;35,FZ10+FY11-GH10,IF(A11&lt;'Données projet'!$A$244,$FW$205^A11,IF(A11='Données projet'!$A$244,'Données projet'!$B$244,FZ10+FY11-GH10)))</f>
        <v>3.9467484664706216</v>
      </c>
      <c r="GA11" s="18">
        <f>FZ11*VLOOKUP('Données projet'!$B$17,Paramètres!$A$1:$I$89,3,0)*VLOOKUP('Données projet'!$B$17,Paramètres!$A$1:$I$89,5,0)</f>
        <v>2.3601555829494321</v>
      </c>
      <c r="GB11" s="14">
        <f t="shared" si="49"/>
        <v>0.98419784118216058</v>
      </c>
      <c r="GC11" s="22">
        <f t="shared" si="25"/>
        <v>5.8247488803625238</v>
      </c>
      <c r="GD11" s="62">
        <f t="shared" si="26"/>
        <v>176.80618259719364</v>
      </c>
      <c r="GE11" s="62">
        <f ca="1">AVERAGE(OFFSET($GD$3,0,0,'Données projet'!$E$17+1,1))-AVERAGE(OFFSET($H$3,0,0,'Données projet'!$E$17+1,1))</f>
        <v>315.909549580511</v>
      </c>
      <c r="GF11" s="62">
        <f t="shared" si="50"/>
        <v>208.56856525402051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projet'!$B$17,Paramètres!$A$1:$I$89,3,0)*0.475*44/12</f>
        <v>0</v>
      </c>
      <c r="GM11" s="23">
        <f>EXP(-LN(2)/25)*GM10+(1-EXP(-LN(2)/25))/(LN(2)/25)*Calculateur!GH11*Calculateur!GJ11*VLOOKUP('Données projet'!$B$17,Paramètres!$A$1:$I$89,3,0)*0.475*44/12</f>
        <v>0</v>
      </c>
      <c r="GN11" s="23">
        <f>EXP(-LN(2)/2)*GN10+(1-EXP(-LN(2)/2))/(LN(2)/2)*GH11*GK11*VLOOKUP('Données projet'!$B$17,Paramètres!$A$1:$I$89,3,0)*0.475*44/12</f>
        <v>0</v>
      </c>
      <c r="GO11" s="23">
        <f t="shared" si="27"/>
        <v>0</v>
      </c>
      <c r="GP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43.964633437923638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1.6346153846153846</v>
      </c>
      <c r="GU11" s="13">
        <f>IF('Données projet'!$A$270&gt;35,GU10+GT11-HC10,IF(A11&lt;'Données projet'!$A$270,$GR$205^A11,IF(A11='Données projet'!$A$270,'Données projet'!$B$270,GU10+GT11-HC10)))</f>
        <v>4.034393273873186</v>
      </c>
      <c r="GV11" s="18">
        <f>GU11*VLOOKUP('Données projet'!$B$18,Paramètres!$A$1:$I$89,3,0)*VLOOKUP('Données projet'!$B$18,Paramètres!$A$1:$I$89,5,0)</f>
        <v>2.7062710081141335</v>
      </c>
      <c r="GW11" s="14">
        <f t="shared" si="51"/>
        <v>1.1106963183986573</v>
      </c>
      <c r="GX11" s="22">
        <f t="shared" si="28"/>
        <v>6.6478847603431106</v>
      </c>
      <c r="GY11" s="62">
        <f t="shared" si="29"/>
        <v>177.62931847717422</v>
      </c>
      <c r="GZ11" s="62">
        <f ca="1">AVERAGE(OFFSET($GY$3,0,0,'Données projet'!$E$18+1,1))-AVERAGE(OFFSET($H$3,0,0,'Données projet'!$E$18+1,1))</f>
        <v>254.35742752782755</v>
      </c>
      <c r="HA11" s="62">
        <f t="shared" si="52"/>
        <v>171.79611712137395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>
        <f>EXP(-LN(2)/35)*HG10+(1-EXP(-LN(2)/35))/(LN(2)/35)*HC11*HD11*VLOOKUP('Données projet'!$B$18,Paramètres!$A$1:$I$89,3,0)*0.475*44/12</f>
        <v>0</v>
      </c>
      <c r="HH11" s="23">
        <f>EXP(-LN(2)/25)*HH10+(1-EXP(-LN(2)/25))/(LN(2)/25)*Calculateur!HC11*Calculateur!HE11*VLOOKUP('Données projet'!$B$18,Paramètres!$A$1:$I$89,3,0)*0.475*44/12</f>
        <v>0</v>
      </c>
      <c r="HI11" s="23">
        <f>EXP(-LN(2)/2)*HI10+(1-EXP(-LN(2)/2))/(LN(2)/2)*HC11*HF11*VLOOKUP('Données projet'!$B$18,Paramètres!$A$1:$I$89,3,0)*0.475*44/12</f>
        <v>0</v>
      </c>
      <c r="HJ11" s="24">
        <f t="shared" si="30"/>
        <v>0</v>
      </c>
    </row>
    <row r="12" spans="1:218" s="5" customFormat="1" x14ac:dyDescent="0.3">
      <c r="A12" s="11">
        <f t="shared" si="31"/>
        <v>9</v>
      </c>
      <c r="B12" s="76">
        <f>'Scénario référence'!$B$16*5+'Scénario référence'!$B$17*0+'Scénario référence'!$B$18*5</f>
        <v>3.9405000000000001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14.448500000000001</v>
      </c>
      <c r="H12" s="69">
        <f t="shared" si="1"/>
        <v>161.30656666666667</v>
      </c>
      <c r="I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44.416288841415977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1.4025641025641027</v>
      </c>
      <c r="N12" s="14">
        <f>IF('Données projet'!$A$36&gt;35,N11+M12-V11,IF(A12&lt;'Données projet'!$A$36,$K$205^A12,IF(A12='Données projet'!$A$36,'Données projet'!$B$36,N11+M12-V11)))</f>
        <v>6.2202578360947607</v>
      </c>
      <c r="O12" s="14">
        <f>N12*VLOOKUP('Données projet'!$B$9,Paramètres!$A$1:$I$89,3,0)*VLOOKUP('Données projet'!$B$9,Paramètres!$A$1:$I$89,5,0)</f>
        <v>3.6388508341154351</v>
      </c>
      <c r="P12" s="14">
        <f t="shared" si="33"/>
        <v>1.4428463292722393</v>
      </c>
      <c r="Q12" s="22">
        <f t="shared" si="2"/>
        <v>8.8506225595668653</v>
      </c>
      <c r="R12" s="62">
        <f t="shared" si="0"/>
        <v>182.71034831142543</v>
      </c>
      <c r="S12" s="62">
        <f ca="1">AVERAGE(OFFSET($R$3,0,0,'Données projet'!$E$9+1,1))-AVERAGE(OFFSET($H$3,0,0,'Données projet'!$E$9+1,1))</f>
        <v>210.54472399593521</v>
      </c>
      <c r="T12" s="62">
        <f t="shared" si="34"/>
        <v>181.14158435194193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44.416288841415977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4.0533333333333328</v>
      </c>
      <c r="AI12" s="14">
        <f>IF('Données projet'!$A$62&gt;35,AI11+AH12-AQ11,IF(A12&lt;'Données projet'!$A$62,$AF$205^A12,IF(A12='Données projet'!$A$62,'Données projet'!$B$62,AI11+AH12-AQ11)))</f>
        <v>11.758235319949707</v>
      </c>
      <c r="AJ12" s="14">
        <f>AI12*VLOOKUP('Données projet'!$B$10,Paramètres!$A$1:$I$89,3,0)*VLOOKUP('Données projet'!$B$10,Paramètres!$A$1:$I$89,5,0)</f>
        <v>6.1142823663738488</v>
      </c>
      <c r="AK12" s="14">
        <f t="shared" si="35"/>
        <v>2.2822695759872</v>
      </c>
      <c r="AL12" s="22">
        <f t="shared" si="4"/>
        <v>14.623994632945491</v>
      </c>
      <c r="AM12" s="62">
        <f t="shared" si="5"/>
        <v>188.48372038480406</v>
      </c>
      <c r="AN12" s="62">
        <f ca="1">AVERAGE(OFFSET($AM$3,0,0,'Données projet'!$E$10+1,1))-AVERAGE(OFFSET($H$3,0,0,'Données projet'!$E$10+1,1))</f>
        <v>289.05608923588198</v>
      </c>
      <c r="AO12" s="62">
        <f t="shared" si="36"/>
        <v>220.06639020312738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44.416288841415977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1.5341666666666667</v>
      </c>
      <c r="BD12" s="13">
        <f>IF('Données projet'!$A$88&gt;35,BD11+BC12-BL11,IF(A12&lt;'Données projet'!$A$88,$BA$205^A12,IF(A12='Données projet'!$A$88,'Données projet'!$B$88,BD11+BC12-BL11)))</f>
        <v>11.675763465481689</v>
      </c>
      <c r="BE12" s="14">
        <f>BD12*VLOOKUP('Données projet'!$B$11,Paramètres!$A$1:$I$89,3,0)*VLOOKUP('Données projet'!$B$11,Paramètres!$A$1:$I$89,5,0)</f>
        <v>13.450479512234905</v>
      </c>
      <c r="BF12" s="14">
        <f t="shared" si="37"/>
        <v>4.5804142387533915</v>
      </c>
      <c r="BG12" s="22">
        <f t="shared" si="7"/>
        <v>31.403806616304621</v>
      </c>
      <c r="BH12" s="62">
        <f t="shared" si="8"/>
        <v>205.2635323681632</v>
      </c>
      <c r="BI12" s="62">
        <f ca="1">AVERAGE(OFFSET($BH$3,0,0,'Données projet'!$E$11+1,1))-AVERAGE(OFFSET($H$3,0,0,'Données projet'!$E$11+1,1))</f>
        <v>299.54950406029354</v>
      </c>
      <c r="BJ12" s="62">
        <f t="shared" si="38"/>
        <v>208.26364698165739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44.416288841415977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1.8269230769230771</v>
      </c>
      <c r="BY12" s="13">
        <f>IF('Données projet'!$A$114&gt;35,BY11+BX12-CG11,IF(A12&lt;'Données projet'!$A$114,$BV$205^A12,IF(A12='Données projet'!$A$114,'Données projet'!$B$114,BY11+BX12-CG11)))</f>
        <v>5.0493748874295479</v>
      </c>
      <c r="BZ12" s="14">
        <f>BY12*VLOOKUP('Données projet'!$B$12,Paramètres!$A$1:$I$89,3,0)*VLOOKUP('Données projet'!$B$12,Paramètres!$A$1:$I$89,5,0)</f>
        <v>5.4351471288291648</v>
      </c>
      <c r="CA12" s="14">
        <f t="shared" si="39"/>
        <v>2.0567654762570022</v>
      </c>
      <c r="CB12" s="22">
        <f t="shared" si="10"/>
        <v>13.048414453858408</v>
      </c>
      <c r="CC12" s="62">
        <f t="shared" si="11"/>
        <v>186.90814020571699</v>
      </c>
      <c r="CD12" s="62">
        <f ca="1">AVERAGE(OFFSET($CC$3,0,0,'Données projet'!$E$12+1,1))-AVERAGE(OFFSET($H$3,0,0,'Données projet'!$E$12+1,1))</f>
        <v>441.30518831297212</v>
      </c>
      <c r="CE12" s="62">
        <f t="shared" si="40"/>
        <v>270.42872405271851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44.416288841415977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0.6</v>
      </c>
      <c r="CT12" s="13">
        <f>IF('Données projet'!$A$140&gt;35,CT11+CS12-DB11,IF(A12&lt;'Données projet'!$A$140,$CQ$205^A12,IF(A12='Données projet'!$A$140,'Données projet'!$B$140,CT11+CS12-DB11)))</f>
        <v>3.7371928188465526</v>
      </c>
      <c r="CU12" s="18">
        <f>CT12*VLOOKUP('Données projet'!$B$13,Paramètres!$A$1:$I$89,3,0)*VLOOKUP('Données projet'!$B$13,Paramètres!$A$1:$I$89,5,0)</f>
        <v>3.2648116465443486</v>
      </c>
      <c r="CV12" s="14">
        <f t="shared" si="41"/>
        <v>1.310983149038857</v>
      </c>
      <c r="CW12" s="22">
        <f t="shared" si="13"/>
        <v>7.9695092689740825</v>
      </c>
      <c r="CX12" s="62">
        <f t="shared" si="14"/>
        <v>181.82923502083267</v>
      </c>
      <c r="CY12" s="62">
        <f ca="1">AVERAGE(OFFSET($CX$3,0,0,'Données projet'!$E$13+1,1))-AVERAGE(OFFSET($H$3,0,0,'Données projet'!$E$13+1,1))</f>
        <v>310.81258463659196</v>
      </c>
      <c r="CZ12" s="62">
        <f t="shared" si="42"/>
        <v>287.31099756692083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44.416288841415977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1.8269230769230771</v>
      </c>
      <c r="DO12" s="13">
        <f>IF('Données projet'!$A$166&gt;35,DO11+DN12-DW11,IF(A12&lt;'Données projet'!$A$166,$DL$205^A12,IF(A12='Données projet'!$A$166,'Données projet'!$B$166,DO11+DN12-DW11)))</f>
        <v>5.0493748874295479</v>
      </c>
      <c r="DP12" s="18">
        <f>DO12*VLOOKUP('Données projet'!$B$14,Paramètres!$A$1:$I$89,3,0)*VLOOKUP('Données projet'!$B$14,Paramètres!$A$1:$I$89,5,0)</f>
        <v>5.2776066323413637</v>
      </c>
      <c r="DQ12" s="14">
        <f t="shared" si="43"/>
        <v>2.0039985961286999</v>
      </c>
      <c r="DR12" s="22">
        <f t="shared" si="16"/>
        <v>12.682129106252026</v>
      </c>
      <c r="DS12" s="62">
        <f t="shared" si="17"/>
        <v>186.54185485811061</v>
      </c>
      <c r="DT12" s="62">
        <f ca="1">AVERAGE(OFFSET($DS$3,0,0,'Données projet'!$E$14+1,1))-AVERAGE(OFFSET($H$3,0,0,'Données projet'!$E$14+1,1))</f>
        <v>431.19274104373625</v>
      </c>
      <c r="DU12" s="62">
        <f t="shared" si="44"/>
        <v>264.67919175178133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44.416288841415977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3.4425641025641025</v>
      </c>
      <c r="EJ12" s="13">
        <f>IF('Données projet'!$A$192&gt;35,EJ11+EI12-ER11,IF(A12&lt;'Données projet'!$A$192,$EG$205^A12,IF(A12='Données projet'!$A$192,'Données projet'!$B$192,EJ11+EI12-ER11)))</f>
        <v>4.0197679866952116</v>
      </c>
      <c r="EK12" s="18">
        <f>EJ12*VLOOKUP('Données projet'!$B$15,Paramètres!$A$1:$I$89,3,0)*VLOOKUP('Données projet'!$B$15,Paramètres!$A$1:$I$89,5,0)</f>
        <v>1.881251417773359</v>
      </c>
      <c r="EL12" s="14">
        <f t="shared" si="45"/>
        <v>0.80547727641405575</v>
      </c>
      <c r="EM12" s="22">
        <f t="shared" si="19"/>
        <v>4.6793858090430804</v>
      </c>
      <c r="EN12" s="62">
        <f t="shared" si="20"/>
        <v>178.53911156090166</v>
      </c>
      <c r="EO12" s="62">
        <f ca="1">AVERAGE(OFFSET($EN$3,0,0,'Données projet'!$E$15+1,1))-AVERAGE(OFFSET($H$3,0,0,'Données projet'!$E$15+1,1))</f>
        <v>291.68530745507815</v>
      </c>
      <c r="EP12" s="62">
        <f t="shared" si="46"/>
        <v>175.95121106728979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44.416288841415977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1.9333333333333333</v>
      </c>
      <c r="FE12" s="13">
        <f>IF('Données projet'!$A$218&gt;35,FE11+FD12-FM11,IF(A12&lt;'Données projet'!$A$218,$FB$205^A12,IF(A12='Données projet'!$A$218,'Données projet'!$B$218,FE11+FD12-FM11)))</f>
        <v>7.5411711733776468</v>
      </c>
      <c r="FF12" s="18">
        <f>FE12*VLOOKUP('Données projet'!$B$16,Paramètres!$A$1:$I$89,3,0)*VLOOKUP('Données projet'!$B$16,Paramètres!$A$1:$I$89,5,0)</f>
        <v>4.9409753527970341</v>
      </c>
      <c r="FG12" s="14">
        <f t="shared" si="47"/>
        <v>1.8906230810757392</v>
      </c>
      <c r="FH12" s="22">
        <f t="shared" si="22"/>
        <v>11.898367272328414</v>
      </c>
      <c r="FI12" s="62">
        <f t="shared" si="23"/>
        <v>185.75809302418699</v>
      </c>
      <c r="FJ12" s="62">
        <f ca="1">AVERAGE(OFFSET($FI$3,0,0,'Données projet'!$E$16+1,1))-AVERAGE(OFFSET($H$3,0,0,'Données projet'!$E$16+1,1))</f>
        <v>248.75689726928428</v>
      </c>
      <c r="FK12" s="62">
        <f t="shared" si="48"/>
        <v>232.02291680388336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projet'!$B$16,Paramètres!$A$1:$I$89,3,0)*0.475*44/12</f>
        <v>0</v>
      </c>
      <c r="FR12" s="23">
        <f>EXP(-LN(2)/25)*FR11+(1-EXP(-LN(2)/25))/(LN(2)/25)*Calculateur!FM12*Calculateur!FO12*VLOOKUP('Données projet'!$B$16,Paramètres!$A$1:$I$89,3,0)*0.475*44/12</f>
        <v>0</v>
      </c>
      <c r="FS12" s="23">
        <f>EXP(-LN(2)/2)*FS11+(1-EXP(-LN(2)/2))/(LN(2)/2)*FM12*FP12*VLOOKUP('Données projet'!$B$16,Paramètres!$A$1:$I$89,3,0)*0.475*44/12</f>
        <v>0</v>
      </c>
      <c r="FT12" s="24">
        <f t="shared" si="24"/>
        <v>0</v>
      </c>
      <c r="FU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44.416288841415977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5</v>
      </c>
      <c r="FZ12" s="13">
        <f>IF('Données projet'!$A$244&gt;35,FZ11+FY12-GH11,IF(A12&lt;'Données projet'!$A$244,$FW$205^A12,IF(A12='Données projet'!$A$244,'Données projet'!$B$244,FZ11+FY12-GH11)))</f>
        <v>4.6856449793544614</v>
      </c>
      <c r="GA12" s="18">
        <f>FZ12*VLOOKUP('Données projet'!$B$17,Paramètres!$A$1:$I$89,3,0)*VLOOKUP('Données projet'!$B$17,Paramètres!$A$1:$I$89,5,0)</f>
        <v>2.8020156976539679</v>
      </c>
      <c r="GB12" s="14">
        <f t="shared" si="49"/>
        <v>1.1453469277246706</v>
      </c>
      <c r="GC12" s="22">
        <f t="shared" si="25"/>
        <v>6.8749899058677952</v>
      </c>
      <c r="GD12" s="62">
        <f t="shared" si="26"/>
        <v>180.73471565772638</v>
      </c>
      <c r="GE12" s="62">
        <f ca="1">AVERAGE(OFFSET($GD$3,0,0,'Données projet'!$E$17+1,1))-AVERAGE(OFFSET($H$3,0,0,'Données projet'!$E$17+1,1))</f>
        <v>315.909549580511</v>
      </c>
      <c r="GF12" s="62">
        <f t="shared" si="50"/>
        <v>208.56856525402051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projet'!$B$17,Paramètres!$A$1:$I$89,3,0)*0.475*44/12</f>
        <v>0</v>
      </c>
      <c r="GM12" s="23">
        <f>EXP(-LN(2)/25)*GM11+(1-EXP(-LN(2)/25))/(LN(2)/25)*Calculateur!GH12*Calculateur!GJ12*VLOOKUP('Données projet'!$B$17,Paramètres!$A$1:$I$89,3,0)*0.475*44/12</f>
        <v>0</v>
      </c>
      <c r="GN12" s="23">
        <f>EXP(-LN(2)/2)*GN11+(1-EXP(-LN(2)/2))/(LN(2)/2)*GH12*GK12*VLOOKUP('Données projet'!$B$17,Paramètres!$A$1:$I$89,3,0)*0.475*44/12</f>
        <v>0</v>
      </c>
      <c r="GO12" s="23">
        <f t="shared" si="27"/>
        <v>0</v>
      </c>
      <c r="GP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44.416288841415977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1.6346153846153846</v>
      </c>
      <c r="GU12" s="13">
        <f>IF('Données projet'!$A$270&gt;35,GU11+GT12-HC11,IF(A12&lt;'Données projet'!$A$270,$GR$205^A12,IF(A12='Données projet'!$A$270,'Données projet'!$B$270,GU11+GT12-HC11)))</f>
        <v>4.8028664423173124</v>
      </c>
      <c r="GV12" s="18">
        <f>GU12*VLOOKUP('Données projet'!$B$18,Paramètres!$A$1:$I$89,3,0)*VLOOKUP('Données projet'!$B$18,Paramètres!$A$1:$I$89,5,0)</f>
        <v>3.221762809506453</v>
      </c>
      <c r="GW12" s="14">
        <f t="shared" si="51"/>
        <v>1.2956972527763424</v>
      </c>
      <c r="GX12" s="22">
        <f t="shared" si="28"/>
        <v>7.8679096084758688</v>
      </c>
      <c r="GY12" s="62">
        <f t="shared" si="29"/>
        <v>181.72763536033443</v>
      </c>
      <c r="GZ12" s="62">
        <f ca="1">AVERAGE(OFFSET($GY$3,0,0,'Données projet'!$E$18+1,1))-AVERAGE(OFFSET($H$3,0,0,'Données projet'!$E$18+1,1))</f>
        <v>254.35742752782755</v>
      </c>
      <c r="HA12" s="62">
        <f t="shared" si="52"/>
        <v>171.79611712137395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>
        <f>EXP(-LN(2)/35)*HG11+(1-EXP(-LN(2)/35))/(LN(2)/35)*HC12*HD12*VLOOKUP('Données projet'!$B$18,Paramètres!$A$1:$I$89,3,0)*0.475*44/12</f>
        <v>0</v>
      </c>
      <c r="HH12" s="23">
        <f>EXP(-LN(2)/25)*HH11+(1-EXP(-LN(2)/25))/(LN(2)/25)*Calculateur!HC12*Calculateur!HE12*VLOOKUP('Données projet'!$B$18,Paramètres!$A$1:$I$89,3,0)*0.475*44/12</f>
        <v>0</v>
      </c>
      <c r="HI12" s="23">
        <f>EXP(-LN(2)/2)*HI11+(1-EXP(-LN(2)/2))/(LN(2)/2)*HC12*HF12*VLOOKUP('Données projet'!$B$18,Paramètres!$A$1:$I$89,3,0)*0.475*44/12</f>
        <v>0</v>
      </c>
      <c r="HJ12" s="24">
        <f t="shared" si="30"/>
        <v>0</v>
      </c>
    </row>
    <row r="13" spans="1:218" s="5" customFormat="1" x14ac:dyDescent="0.3">
      <c r="A13" s="11">
        <f t="shared" si="31"/>
        <v>10</v>
      </c>
      <c r="B13" s="76">
        <f>'Scénario référence'!$B$16*5+'Scénario référence'!$B$17*0+'Scénario référence'!$B$18*5</f>
        <v>3.9405000000000001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14.448500000000001</v>
      </c>
      <c r="H13" s="69">
        <f t="shared" si="1"/>
        <v>161.30656666666667</v>
      </c>
      <c r="I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44.86010903340793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1.4025641025641027</v>
      </c>
      <c r="N13" s="14">
        <f>IF('Données projet'!$A$36&gt;35,N12+M13-V12,IF(A13&lt;'Données projet'!$A$36,$K$205^A13,IF(A13='Données projet'!$A$36,'Données projet'!$B$36,N12+M13-V12)))</f>
        <v>7.6209536257186246</v>
      </c>
      <c r="O13" s="14">
        <f>N13*VLOOKUP('Données projet'!$B$9,Paramètres!$A$1:$I$89,3,0)*VLOOKUP('Données projet'!$B$9,Paramètres!$A$1:$I$89,5,0)</f>
        <v>4.4582578710453955</v>
      </c>
      <c r="P13" s="14">
        <f t="shared" si="33"/>
        <v>1.7264516582285898</v>
      </c>
      <c r="Q13" s="22">
        <f t="shared" si="2"/>
        <v>10.771702430152191</v>
      </c>
      <c r="R13" s="62">
        <f t="shared" si="0"/>
        <v>187.48099110820351</v>
      </c>
      <c r="S13" s="62">
        <f ca="1">AVERAGE(OFFSET($R$3,0,0,'Données projet'!$E$9+1,1))-AVERAGE(OFFSET($H$3,0,0,'Données projet'!$E$9+1,1))</f>
        <v>210.54472399593521</v>
      </c>
      <c r="T13" s="62">
        <f t="shared" si="34"/>
        <v>181.14158435194193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44.86010903340793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4.0533333333333328</v>
      </c>
      <c r="AI13" s="14">
        <f>IF('Données projet'!$A$62&gt;35,AI12+AH13-AQ12,IF(A13&lt;'Données projet'!$A$62,$AF$205^A13,IF(A13='Données projet'!$A$62,'Données projet'!$B$62,AI12+AH13-AQ12)))</f>
        <v>15.462120476504737</v>
      </c>
      <c r="AJ13" s="14">
        <f>AI13*VLOOKUP('Données projet'!$B$10,Paramètres!$A$1:$I$89,3,0)*VLOOKUP('Données projet'!$B$10,Paramètres!$A$1:$I$89,5,0)</f>
        <v>8.0403026477824628</v>
      </c>
      <c r="AK13" s="14">
        <f t="shared" si="35"/>
        <v>2.9070383053453721</v>
      </c>
      <c r="AL13" s="22">
        <f t="shared" si="4"/>
        <v>19.066618826697646</v>
      </c>
      <c r="AM13" s="62">
        <f t="shared" si="5"/>
        <v>195.77590750474894</v>
      </c>
      <c r="AN13" s="62">
        <f ca="1">AVERAGE(OFFSET($AM$3,0,0,'Données projet'!$E$10+1,1))-AVERAGE(OFFSET($H$3,0,0,'Données projet'!$E$10+1,1))</f>
        <v>289.05608923588198</v>
      </c>
      <c r="AO13" s="62">
        <f t="shared" si="36"/>
        <v>220.06639020312738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44.86010903340793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>
        <f>VLOOKUP(A13,'Données projet'!$A$87:$I$107,2,0)</f>
        <v>15.341666666666667</v>
      </c>
      <c r="BB13" s="13">
        <f>VLOOKUP(A13,'Données projet'!$A$87:$I$107,9,0)</f>
        <v>1.5341666666666667</v>
      </c>
      <c r="BC13" s="13">
        <f t="array" ref="BC13">INDEX(BB:BB,MIN(IF(ISNUMBER(BB13:BB209),ROW(BB13:BB209),"")))</f>
        <v>1.5341666666666667</v>
      </c>
      <c r="BD13" s="13">
        <f>IF('Données projet'!$A$88&gt;35,BD12+BC13-BL12,IF(A13&lt;'Données projet'!$A$88,$BA$205^A13,IF(A13='Données projet'!$A$88,'Données projet'!$B$88,BD12+BC13-BL12)))</f>
        <v>15.341666666666667</v>
      </c>
      <c r="BE13" s="14">
        <f>BD13*VLOOKUP('Données projet'!$B$11,Paramètres!$A$1:$I$89,3,0)*VLOOKUP('Données projet'!$B$11,Paramètres!$A$1:$I$89,5,0)</f>
        <v>17.6736</v>
      </c>
      <c r="BF13" s="14">
        <f t="shared" si="37"/>
        <v>5.8302671336764922</v>
      </c>
      <c r="BG13" s="22">
        <f t="shared" si="7"/>
        <v>40.935901924486565</v>
      </c>
      <c r="BH13" s="62">
        <f t="shared" si="8"/>
        <v>217.64519060253787</v>
      </c>
      <c r="BI13" s="62">
        <f ca="1">AVERAGE(OFFSET($BH$3,0,0,'Données projet'!$E$11+1,1))-AVERAGE(OFFSET($H$3,0,0,'Données projet'!$E$11+1,1))</f>
        <v>299.54950406029354</v>
      </c>
      <c r="BJ13" s="62">
        <f t="shared" si="38"/>
        <v>208.26364698165739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44.86010903340793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1.8269230769230771</v>
      </c>
      <c r="BY13" s="13">
        <f>IF('Données projet'!$A$114&gt;35,BY12+BX13-CG12,IF(A13&lt;'Données projet'!$A$114,$BV$205^A13,IF(A13='Données projet'!$A$114,'Données projet'!$B$114,BY12+BX13-CG12)))</f>
        <v>6.0447052482698957</v>
      </c>
      <c r="BZ13" s="14">
        <f>BY13*VLOOKUP('Données projet'!$B$12,Paramètres!$A$1:$I$89,3,0)*VLOOKUP('Données projet'!$B$12,Paramètres!$A$1:$I$89,5,0)</f>
        <v>6.5065207292377156</v>
      </c>
      <c r="CA13" s="14">
        <f t="shared" si="39"/>
        <v>2.4111658291873113</v>
      </c>
      <c r="CB13" s="22">
        <f t="shared" si="10"/>
        <v>15.531637422590252</v>
      </c>
      <c r="CC13" s="62">
        <f t="shared" si="11"/>
        <v>192.24092610064156</v>
      </c>
      <c r="CD13" s="62">
        <f ca="1">AVERAGE(OFFSET($CC$3,0,0,'Données projet'!$E$12+1,1))-AVERAGE(OFFSET($H$3,0,0,'Données projet'!$E$12+1,1))</f>
        <v>441.30518831297212</v>
      </c>
      <c r="CE13" s="62">
        <f t="shared" si="40"/>
        <v>270.42872405271851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44.86010903340793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0.6</v>
      </c>
      <c r="CT13" s="13">
        <f>IF('Données projet'!$A$140&gt;35,CT12+CS13-DB12,IF(A13&lt;'Données projet'!$A$140,$CQ$205^A13,IF(A13='Données projet'!$A$140,'Données projet'!$B$140,CT12+CS13-DB12)))</f>
        <v>4.3267487109222253</v>
      </c>
      <c r="CU13" s="18">
        <f>CT13*VLOOKUP('Données projet'!$B$13,Paramètres!$A$1:$I$89,3,0)*VLOOKUP('Données projet'!$B$13,Paramètres!$A$1:$I$89,5,0)</f>
        <v>3.7798476738616569</v>
      </c>
      <c r="CV13" s="14">
        <f t="shared" si="41"/>
        <v>1.4921358157334794</v>
      </c>
      <c r="CW13" s="22">
        <f t="shared" si="13"/>
        <v>9.182037911044862</v>
      </c>
      <c r="CX13" s="62">
        <f t="shared" si="14"/>
        <v>185.89132658909617</v>
      </c>
      <c r="CY13" s="62">
        <f ca="1">AVERAGE(OFFSET($CX$3,0,0,'Données projet'!$E$13+1,1))-AVERAGE(OFFSET($H$3,0,0,'Données projet'!$E$13+1,1))</f>
        <v>310.81258463659196</v>
      </c>
      <c r="CZ13" s="62">
        <f t="shared" si="42"/>
        <v>287.31099756692083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44.86010903340793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1.8269230769230771</v>
      </c>
      <c r="DO13" s="13">
        <f>IF('Données projet'!$A$166&gt;35,DO12+DN13-DW12,IF(A13&lt;'Données projet'!$A$166,$DL$205^A13,IF(A13='Données projet'!$A$166,'Données projet'!$B$166,DO12+DN13-DW12)))</f>
        <v>6.0447052482698957</v>
      </c>
      <c r="DP13" s="18">
        <f>DO13*VLOOKUP('Données projet'!$B$14,Paramètres!$A$1:$I$89,3,0)*VLOOKUP('Données projet'!$B$14,Paramètres!$A$1:$I$89,5,0)</f>
        <v>6.3179259254916964</v>
      </c>
      <c r="DQ13" s="14">
        <f t="shared" si="43"/>
        <v>2.3493067111950539</v>
      </c>
      <c r="DR13" s="22">
        <f t="shared" si="16"/>
        <v>15.095430175562756</v>
      </c>
      <c r="DS13" s="62">
        <f t="shared" si="17"/>
        <v>191.80471885361408</v>
      </c>
      <c r="DT13" s="62">
        <f ca="1">AVERAGE(OFFSET($DS$3,0,0,'Données projet'!$E$14+1,1))-AVERAGE(OFFSET($H$3,0,0,'Données projet'!$E$14+1,1))</f>
        <v>431.19274104373625</v>
      </c>
      <c r="DU13" s="62">
        <f t="shared" si="44"/>
        <v>264.67919175178133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44.86010903340793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3.4425641025641025</v>
      </c>
      <c r="EJ13" s="13">
        <f>IF('Données projet'!$A$192&gt;35,EJ12+EI13-ER12,IF(A13&lt;'Données projet'!$A$192,$EG$205^A13,IF(A13='Données projet'!$A$192,'Données projet'!$B$192,EJ12+EI13-ER12)))</f>
        <v>4.6917453277627805</v>
      </c>
      <c r="EK13" s="18">
        <f>EJ13*VLOOKUP('Données projet'!$B$15,Paramètres!$A$1:$I$89,3,0)*VLOOKUP('Données projet'!$B$15,Paramètres!$A$1:$I$89,5,0)</f>
        <v>2.1957368133929811</v>
      </c>
      <c r="EL13" s="14">
        <f t="shared" si="45"/>
        <v>0.9233628621568436</v>
      </c>
      <c r="EM13" s="22">
        <f t="shared" si="19"/>
        <v>5.432431934915944</v>
      </c>
      <c r="EN13" s="62">
        <f t="shared" si="20"/>
        <v>182.14172061296725</v>
      </c>
      <c r="EO13" s="62">
        <f ca="1">AVERAGE(OFFSET($EN$3,0,0,'Données projet'!$E$15+1,1))-AVERAGE(OFFSET($H$3,0,0,'Données projet'!$E$15+1,1))</f>
        <v>291.68530745507815</v>
      </c>
      <c r="EP13" s="62">
        <f t="shared" si="46"/>
        <v>175.95121106728979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44.86010903340793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1.9333333333333333</v>
      </c>
      <c r="FE13" s="13">
        <f>IF('Données projet'!$A$218&gt;35,FE12+FD13-FM12,IF(A13&lt;'Données projet'!$A$218,$FB$205^A13,IF(A13='Données projet'!$A$218,'Données projet'!$B$218,FE12+FD13-FM12)))</f>
        <v>9.4391306773923702</v>
      </c>
      <c r="FF13" s="18">
        <f>FE13*VLOOKUP('Données projet'!$B$16,Paramètres!$A$1:$I$89,3,0)*VLOOKUP('Données projet'!$B$16,Paramètres!$A$1:$I$89,5,0)</f>
        <v>6.184518419827481</v>
      </c>
      <c r="FG13" s="14">
        <f t="shared" si="47"/>
        <v>2.3054194187164532</v>
      </c>
      <c r="FH13" s="22">
        <f t="shared" si="22"/>
        <v>14.786641735464018</v>
      </c>
      <c r="FI13" s="62">
        <f t="shared" si="23"/>
        <v>191.49593041351534</v>
      </c>
      <c r="FJ13" s="62">
        <f ca="1">AVERAGE(OFFSET($FI$3,0,0,'Données projet'!$E$16+1,1))-AVERAGE(OFFSET($H$3,0,0,'Données projet'!$E$16+1,1))</f>
        <v>248.75689726928428</v>
      </c>
      <c r="FK13" s="62">
        <f t="shared" si="48"/>
        <v>232.02291680388336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projet'!$B$16,Paramètres!$A$1:$I$89,3,0)*0.475*44/12</f>
        <v>0</v>
      </c>
      <c r="FR13" s="23">
        <f>EXP(-LN(2)/25)*FR12+(1-EXP(-LN(2)/25))/(LN(2)/25)*Calculateur!FM13*Calculateur!FO13*VLOOKUP('Données projet'!$B$16,Paramètres!$A$1:$I$89,3,0)*0.475*44/12</f>
        <v>0</v>
      </c>
      <c r="FS13" s="23">
        <f>EXP(-LN(2)/2)*FS12+(1-EXP(-LN(2)/2))/(LN(2)/2)*FM13*FP13*VLOOKUP('Données projet'!$B$16,Paramètres!$A$1:$I$89,3,0)*0.475*44/12</f>
        <v>0</v>
      </c>
      <c r="FT13" s="24">
        <f t="shared" si="24"/>
        <v>0</v>
      </c>
      <c r="FU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44.86010903340793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5</v>
      </c>
      <c r="FZ13" s="13">
        <f>IF('Données projet'!$A$244&gt;35,FZ12+FY13-GH12,IF(A13&lt;'Données projet'!$A$244,$FW$205^A13,IF(A13='Données projet'!$A$244,'Données projet'!$B$244,FZ12+FY13-GH12)))</f>
        <v>5.5628751259598666</v>
      </c>
      <c r="GA13" s="18">
        <f>FZ13*VLOOKUP('Données projet'!$B$17,Paramètres!$A$1:$I$89,3,0)*VLOOKUP('Données projet'!$B$17,Paramètres!$A$1:$I$89,5,0)</f>
        <v>3.3265993253240005</v>
      </c>
      <c r="GB13" s="14">
        <f t="shared" si="49"/>
        <v>1.3328819978640285</v>
      </c>
      <c r="GC13" s="22">
        <f t="shared" si="25"/>
        <v>8.1152633045524833</v>
      </c>
      <c r="GD13" s="62">
        <f t="shared" si="26"/>
        <v>184.82455198260379</v>
      </c>
      <c r="GE13" s="62">
        <f ca="1">AVERAGE(OFFSET($GD$3,0,0,'Données projet'!$E$17+1,1))-AVERAGE(OFFSET($H$3,0,0,'Données projet'!$E$17+1,1))</f>
        <v>315.909549580511</v>
      </c>
      <c r="GF13" s="62">
        <f t="shared" si="50"/>
        <v>208.56856525402051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>
        <f>EXP(-LN(2)/35)*GL12+(1-EXP(-LN(2)/35))/(LN(2)/35)*GH13*GI13*VLOOKUP('Données projet'!$B$17,Paramètres!$A$1:$I$89,3,0)*0.475*44/12</f>
        <v>0</v>
      </c>
      <c r="GM13" s="23">
        <f>EXP(-LN(2)/25)*GM12+(1-EXP(-LN(2)/25))/(LN(2)/25)*Calculateur!GH13*Calculateur!GJ13*VLOOKUP('Données projet'!$B$17,Paramètres!$A$1:$I$89,3,0)*0.475*44/12</f>
        <v>0</v>
      </c>
      <c r="GN13" s="23">
        <f>EXP(-LN(2)/2)*GN12+(1-EXP(-LN(2)/2))/(LN(2)/2)*GH13*GK13*VLOOKUP('Données projet'!$B$17,Paramètres!$A$1:$I$89,3,0)*0.475*44/12</f>
        <v>0</v>
      </c>
      <c r="GO13" s="23">
        <f t="shared" si="27"/>
        <v>0</v>
      </c>
      <c r="GP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44.86010903340793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1.6346153846153846</v>
      </c>
      <c r="GU13" s="13">
        <f>IF('Données projet'!$A$270&gt;35,GU12+GT13-HC12,IF(A13&lt;'Données projet'!$A$270,$GR$205^A13,IF(A13='Données projet'!$A$270,'Données projet'!$B$270,GU12+GT13-HC12)))</f>
        <v>5.7177187489686574</v>
      </c>
      <c r="GV13" s="18">
        <f>GU13*VLOOKUP('Données projet'!$B$18,Paramètres!$A$1:$I$89,3,0)*VLOOKUP('Données projet'!$B$18,Paramètres!$A$1:$I$89,5,0)</f>
        <v>3.8354457368081754</v>
      </c>
      <c r="GW13" s="14">
        <f t="shared" si="51"/>
        <v>1.5115125017003845</v>
      </c>
      <c r="GX13" s="22">
        <f t="shared" si="28"/>
        <v>9.3126189320690731</v>
      </c>
      <c r="GY13" s="62">
        <f t="shared" si="29"/>
        <v>186.02190761012039</v>
      </c>
      <c r="GZ13" s="62">
        <f ca="1">AVERAGE(OFFSET($GY$3,0,0,'Données projet'!$E$18+1,1))-AVERAGE(OFFSET($H$3,0,0,'Données projet'!$E$18+1,1))</f>
        <v>254.35742752782755</v>
      </c>
      <c r="HA13" s="62">
        <f t="shared" si="52"/>
        <v>171.79611712137395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>
        <f>EXP(-LN(2)/35)*HG12+(1-EXP(-LN(2)/35))/(LN(2)/35)*HC13*HD13*VLOOKUP('Données projet'!$B$18,Paramètres!$A$1:$I$89,3,0)*0.475*44/12</f>
        <v>0</v>
      </c>
      <c r="HH13" s="23">
        <f>EXP(-LN(2)/25)*HH12+(1-EXP(-LN(2)/25))/(LN(2)/25)*Calculateur!HC13*Calculateur!HE13*VLOOKUP('Données projet'!$B$18,Paramètres!$A$1:$I$89,3,0)*0.475*44/12</f>
        <v>0</v>
      </c>
      <c r="HI13" s="23">
        <f>EXP(-LN(2)/2)*HI12+(1-EXP(-LN(2)/2))/(LN(2)/2)*HC13*HF13*VLOOKUP('Données projet'!$B$18,Paramètres!$A$1:$I$89,3,0)*0.475*44/12</f>
        <v>0</v>
      </c>
      <c r="HJ13" s="24">
        <f t="shared" si="30"/>
        <v>0</v>
      </c>
    </row>
    <row r="14" spans="1:218" s="5" customFormat="1" x14ac:dyDescent="0.3">
      <c r="A14" s="11">
        <f t="shared" si="31"/>
        <v>11</v>
      </c>
      <c r="B14" s="76">
        <f>'Scénario référence'!$B$16*5+'Scénario référence'!$B$17*0+'Scénario référence'!$B$18*5</f>
        <v>3.9405000000000001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14.448500000000001</v>
      </c>
      <c r="H14" s="69">
        <f t="shared" si="1"/>
        <v>161.30656666666667</v>
      </c>
      <c r="I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45.29622993730213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1.4025641025641027</v>
      </c>
      <c r="N14" s="14">
        <f>IF('Données projet'!$A$36&gt;35,N13+M14-V13,IF(A14&lt;'Données projet'!$A$36,$K$205^A14,IF(A14='Données projet'!$A$36,'Données projet'!$B$36,N13+M14-V13)))</f>
        <v>9.3370621758369623</v>
      </c>
      <c r="O14" s="14">
        <f>N14*VLOOKUP('Données projet'!$B$9,Paramètres!$A$1:$I$89,3,0)*VLOOKUP('Données projet'!$B$9,Paramètres!$A$1:$I$89,5,0)</f>
        <v>5.4621813728646238</v>
      </c>
      <c r="P14" s="14">
        <f t="shared" si="33"/>
        <v>2.0658023434163346</v>
      </c>
      <c r="Q14" s="22">
        <f t="shared" si="2"/>
        <v>13.111238305856004</v>
      </c>
      <c r="R14" s="62">
        <f t="shared" si="0"/>
        <v>192.64185918707494</v>
      </c>
      <c r="S14" s="62">
        <f ca="1">AVERAGE(OFFSET($R$3,0,0,'Données projet'!$E$9+1,1))-AVERAGE(OFFSET($H$3,0,0,'Données projet'!$E$9+1,1))</f>
        <v>210.54472399593521</v>
      </c>
      <c r="T14" s="62">
        <f t="shared" si="34"/>
        <v>181.14158435194193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45.29622993730213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4.0533333333333328</v>
      </c>
      <c r="AI14" s="14">
        <f>IF('Données projet'!$A$62&gt;35,AI13+AH14-AQ13,IF(A14&lt;'Données projet'!$A$62,$AF$205^A14,IF(A14='Données projet'!$A$62,'Données projet'!$B$62,AI13+AH14-AQ13)))</f>
        <v>20.332742382210601</v>
      </c>
      <c r="AJ14" s="14">
        <f>AI14*VLOOKUP('Données projet'!$B$10,Paramètres!$A$1:$I$89,3,0)*VLOOKUP('Données projet'!$B$10,Paramètres!$A$1:$I$89,5,0)</f>
        <v>10.573026038749514</v>
      </c>
      <c r="AK14" s="14">
        <f t="shared" si="35"/>
        <v>3.7028367716332777</v>
      </c>
      <c r="AL14" s="22">
        <f t="shared" si="4"/>
        <v>24.86379439475003</v>
      </c>
      <c r="AM14" s="62">
        <f t="shared" si="5"/>
        <v>204.39441527596898</v>
      </c>
      <c r="AN14" s="62">
        <f ca="1">AVERAGE(OFFSET($AM$3,0,0,'Données projet'!$E$10+1,1))-AVERAGE(OFFSET($H$3,0,0,'Données projet'!$E$10+1,1))</f>
        <v>289.05608923588198</v>
      </c>
      <c r="AO14" s="62">
        <f t="shared" si="36"/>
        <v>220.06639020312738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45.29622993730213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1.9558333333333331</v>
      </c>
      <c r="BD14" s="13">
        <f>IF('Données projet'!$A$88&gt;35,BD13+BC14-BL13,IF(A14&lt;'Données projet'!$A$88,$BA$205^A14,IF(A14='Données projet'!$A$88,'Données projet'!$B$88,BD13+BC14-BL13)))</f>
        <v>17.297499999999999</v>
      </c>
      <c r="BE14" s="14">
        <f>BD14*VLOOKUP('Données projet'!$B$11,Paramètres!$A$1:$I$89,3,0)*VLOOKUP('Données projet'!$B$11,Paramètres!$A$1:$I$89,5,0)</f>
        <v>19.92672</v>
      </c>
      <c r="BF14" s="14">
        <f t="shared" si="37"/>
        <v>6.4823660887173542</v>
      </c>
      <c r="BG14" s="22">
        <f t="shared" si="7"/>
        <v>45.995824937849385</v>
      </c>
      <c r="BH14" s="62">
        <f t="shared" si="8"/>
        <v>225.52644581906833</v>
      </c>
      <c r="BI14" s="62">
        <f ca="1">AVERAGE(OFFSET($BH$3,0,0,'Données projet'!$E$11+1,1))-AVERAGE(OFFSET($H$3,0,0,'Données projet'!$E$11+1,1))</f>
        <v>299.54950406029354</v>
      </c>
      <c r="BJ14" s="62">
        <f t="shared" si="38"/>
        <v>208.26364698165739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45.29622993730213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1.8269230769230771</v>
      </c>
      <c r="BY14" s="13">
        <f>IF('Données projet'!$A$114&gt;35,BY13+BX14-CG13,IF(A14&lt;'Données projet'!$A$114,$BV$205^A14,IF(A14='Données projet'!$A$114,'Données projet'!$B$114,BY13+BX14-CG13)))</f>
        <v>7.2362346534071689</v>
      </c>
      <c r="BZ14" s="14">
        <f>BY14*VLOOKUP('Données projet'!$B$12,Paramètres!$A$1:$I$89,3,0)*VLOOKUP('Données projet'!$B$12,Paramètres!$A$1:$I$89,5,0)</f>
        <v>7.7890829809274766</v>
      </c>
      <c r="CA14" s="14">
        <f t="shared" si="39"/>
        <v>2.8266327507697255</v>
      </c>
      <c r="CB14" s="22">
        <f t="shared" si="10"/>
        <v>18.489038232705958</v>
      </c>
      <c r="CC14" s="62">
        <f t="shared" si="11"/>
        <v>198.01965911392489</v>
      </c>
      <c r="CD14" s="62">
        <f ca="1">AVERAGE(OFFSET($CC$3,0,0,'Données projet'!$E$12+1,1))-AVERAGE(OFFSET($H$3,0,0,'Données projet'!$E$12+1,1))</f>
        <v>441.30518831297212</v>
      </c>
      <c r="CE14" s="62">
        <f t="shared" si="40"/>
        <v>270.42872405271851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45.29622993730213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0.6</v>
      </c>
      <c r="CT14" s="13">
        <f>IF('Données projet'!$A$140&gt;35,CT13+CS14-DB13,IF(A14&lt;'Données projet'!$A$140,$CQ$205^A14,IF(A14='Données projet'!$A$140,'Données projet'!$B$140,CT13+CS14-DB13)))</f>
        <v>5.0093092101266317</v>
      </c>
      <c r="CU14" s="18">
        <f>CT14*VLOOKUP('Données projet'!$B$13,Paramètres!$A$1:$I$89,3,0)*VLOOKUP('Données projet'!$B$13,Paramètres!$A$1:$I$89,5,0)</f>
        <v>4.3761325259666259</v>
      </c>
      <c r="CV14" s="14">
        <f t="shared" si="41"/>
        <v>1.69832029818762</v>
      </c>
      <c r="CW14" s="22">
        <f t="shared" si="13"/>
        <v>10.579672002068646</v>
      </c>
      <c r="CX14" s="62">
        <f t="shared" si="14"/>
        <v>190.11029288328757</v>
      </c>
      <c r="CY14" s="62">
        <f ca="1">AVERAGE(OFFSET($CX$3,0,0,'Données projet'!$E$13+1,1))-AVERAGE(OFFSET($H$3,0,0,'Données projet'!$E$13+1,1))</f>
        <v>310.81258463659196</v>
      </c>
      <c r="CZ14" s="62">
        <f t="shared" si="42"/>
        <v>287.31099756692083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45.29622993730213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1.8269230769230771</v>
      </c>
      <c r="DO14" s="13">
        <f>IF('Données projet'!$A$166&gt;35,DO13+DN14-DW13,IF(A14&lt;'Données projet'!$A$166,$DL$205^A14,IF(A14='Données projet'!$A$166,'Données projet'!$B$166,DO13+DN14-DW13)))</f>
        <v>7.2362346534071689</v>
      </c>
      <c r="DP14" s="18">
        <f>DO14*VLOOKUP('Données projet'!$B$14,Paramètres!$A$1:$I$89,3,0)*VLOOKUP('Données projet'!$B$14,Paramètres!$A$1:$I$89,5,0)</f>
        <v>7.5633124597411738</v>
      </c>
      <c r="DQ14" s="14">
        <f t="shared" si="43"/>
        <v>2.7541147154135355</v>
      </c>
      <c r="DR14" s="22">
        <f t="shared" si="16"/>
        <v>17.969518996727786</v>
      </c>
      <c r="DS14" s="62">
        <f t="shared" si="17"/>
        <v>197.50013987794671</v>
      </c>
      <c r="DT14" s="62">
        <f ca="1">AVERAGE(OFFSET($DS$3,0,0,'Données projet'!$E$14+1,1))-AVERAGE(OFFSET($H$3,0,0,'Données projet'!$E$14+1,1))</f>
        <v>431.19274104373625</v>
      </c>
      <c r="DU14" s="62">
        <f t="shared" si="44"/>
        <v>264.67919175178133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45.29622993730213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3.4425641025641025</v>
      </c>
      <c r="EJ14" s="13">
        <f>IF('Données projet'!$A$192&gt;35,EJ13+EI14-ER13,IF(A14&lt;'Données projet'!$A$192,$EG$205^A14,IF(A14='Données projet'!$A$192,'Données projet'!$B$192,EJ13+EI14-ER13)))</f>
        <v>5.4760559050775193</v>
      </c>
      <c r="EK14" s="18">
        <f>EJ14*VLOOKUP('Données projet'!$B$15,Paramètres!$A$1:$I$89,3,0)*VLOOKUP('Données projet'!$B$15,Paramètres!$A$1:$I$89,5,0)</f>
        <v>2.562794163576279</v>
      </c>
      <c r="EL14" s="14">
        <f t="shared" si="45"/>
        <v>1.0585015867936163</v>
      </c>
      <c r="EM14" s="22">
        <f t="shared" si="19"/>
        <v>6.3070900985608995</v>
      </c>
      <c r="EN14" s="62">
        <f t="shared" si="20"/>
        <v>185.83771097977984</v>
      </c>
      <c r="EO14" s="62">
        <f ca="1">AVERAGE(OFFSET($EN$3,0,0,'Données projet'!$E$15+1,1))-AVERAGE(OFFSET($H$3,0,0,'Données projet'!$E$15+1,1))</f>
        <v>291.68530745507815</v>
      </c>
      <c r="EP14" s="62">
        <f t="shared" si="46"/>
        <v>175.95121106728979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45.29622993730213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1.9333333333333333</v>
      </c>
      <c r="FE14" s="13">
        <f>IF('Données projet'!$A$218&gt;35,FE13+FD14-FM13,IF(A14&lt;'Données projet'!$A$218,$FB$205^A14,IF(A14='Données projet'!$A$218,'Données projet'!$B$218,FE13+FD14-FM13)))</f>
        <v>11.814768011025487</v>
      </c>
      <c r="FF14" s="18">
        <f>FE14*VLOOKUP('Données projet'!$B$16,Paramètres!$A$1:$I$89,3,0)*VLOOKUP('Données projet'!$B$16,Paramètres!$A$1:$I$89,5,0)</f>
        <v>7.7410360008238994</v>
      </c>
      <c r="FG14" s="14">
        <f t="shared" si="47"/>
        <v>2.8112206760803793</v>
      </c>
      <c r="FH14" s="22">
        <f t="shared" si="22"/>
        <v>18.378513712274948</v>
      </c>
      <c r="FI14" s="62">
        <f t="shared" si="23"/>
        <v>197.90913459349389</v>
      </c>
      <c r="FJ14" s="62">
        <f ca="1">AVERAGE(OFFSET($FI$3,0,0,'Données projet'!$E$16+1,1))-AVERAGE(OFFSET($H$3,0,0,'Données projet'!$E$16+1,1))</f>
        <v>248.75689726928428</v>
      </c>
      <c r="FK14" s="62">
        <f t="shared" si="48"/>
        <v>232.02291680388336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projet'!$B$16,Paramètres!$A$1:$I$89,3,0)*0.475*44/12</f>
        <v>0</v>
      </c>
      <c r="FR14" s="23">
        <f>EXP(-LN(2)/25)*FR13+(1-EXP(-LN(2)/25))/(LN(2)/25)*Calculateur!FM14*Calculateur!FO14*VLOOKUP('Données projet'!$B$16,Paramètres!$A$1:$I$89,3,0)*0.475*44/12</f>
        <v>0</v>
      </c>
      <c r="FS14" s="23">
        <f>EXP(-LN(2)/2)*FS13+(1-EXP(-LN(2)/2))/(LN(2)/2)*FM14*FP14*VLOOKUP('Données projet'!$B$16,Paramètres!$A$1:$I$89,3,0)*0.475*44/12</f>
        <v>0</v>
      </c>
      <c r="FT14" s="24">
        <f t="shared" si="24"/>
        <v>0</v>
      </c>
      <c r="FU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45.29622993730213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5</v>
      </c>
      <c r="FZ14" s="13">
        <f>IF('Données projet'!$A$244&gt;35,FZ13+FY14-GH13,IF(A14&lt;'Données projet'!$A$244,$FW$205^A14,IF(A14='Données projet'!$A$244,'Données projet'!$B$244,FZ13+FY14-GH13)))</f>
        <v>6.6043372477797835</v>
      </c>
      <c r="GA14" s="18">
        <f>FZ14*VLOOKUP('Données projet'!$B$17,Paramètres!$A$1:$I$89,3,0)*VLOOKUP('Données projet'!$B$17,Paramètres!$A$1:$I$89,5,0)</f>
        <v>3.949393674172311</v>
      </c>
      <c r="GB14" s="14">
        <f t="shared" si="49"/>
        <v>1.5511233995793057</v>
      </c>
      <c r="GC14" s="22">
        <f t="shared" si="25"/>
        <v>9.5800672367840658</v>
      </c>
      <c r="GD14" s="62">
        <f t="shared" si="26"/>
        <v>189.110688118003</v>
      </c>
      <c r="GE14" s="62">
        <f ca="1">AVERAGE(OFFSET($GD$3,0,0,'Données projet'!$E$17+1,1))-AVERAGE(OFFSET($H$3,0,0,'Données projet'!$E$17+1,1))</f>
        <v>315.909549580511</v>
      </c>
      <c r="GF14" s="62">
        <f t="shared" si="50"/>
        <v>208.56856525402051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projet'!$B$17,Paramètres!$A$1:$I$89,3,0)*0.475*44/12</f>
        <v>0</v>
      </c>
      <c r="GM14" s="23">
        <f>EXP(-LN(2)/25)*GM13+(1-EXP(-LN(2)/25))/(LN(2)/25)*Calculateur!GH14*Calculateur!GJ14*VLOOKUP('Données projet'!$B$17,Paramètres!$A$1:$I$89,3,0)*0.475*44/12</f>
        <v>0</v>
      </c>
      <c r="GN14" s="23">
        <f>EXP(-LN(2)/2)*GN13+(1-EXP(-LN(2)/2))/(LN(2)/2)*GH14*GK14*VLOOKUP('Données projet'!$B$17,Paramètres!$A$1:$I$89,3,0)*0.475*44/12</f>
        <v>0</v>
      </c>
      <c r="GO14" s="23">
        <f t="shared" si="27"/>
        <v>0</v>
      </c>
      <c r="GP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45.29622993730213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1.6346153846153846</v>
      </c>
      <c r="GU14" s="13">
        <f>IF('Données projet'!$A$270&gt;35,GU13+GT14-HC13,IF(A14&lt;'Données projet'!$A$270,$GR$205^A14,IF(A14='Données projet'!$A$270,'Données projet'!$B$270,GU13+GT14-HC13)))</f>
        <v>6.8068325623758437</v>
      </c>
      <c r="GV14" s="18">
        <f>GU14*VLOOKUP('Données projet'!$B$18,Paramètres!$A$1:$I$89,3,0)*VLOOKUP('Données projet'!$B$18,Paramètres!$A$1:$I$89,5,0)</f>
        <v>4.5660232828417167</v>
      </c>
      <c r="GW14" s="14">
        <f t="shared" si="51"/>
        <v>1.7632745904964304</v>
      </c>
      <c r="GX14" s="22">
        <f t="shared" si="28"/>
        <v>11.023527129397273</v>
      </c>
      <c r="GY14" s="62">
        <f t="shared" si="29"/>
        <v>190.55414801061622</v>
      </c>
      <c r="GZ14" s="62">
        <f ca="1">AVERAGE(OFFSET($GY$3,0,0,'Données projet'!$E$18+1,1))-AVERAGE(OFFSET($H$3,0,0,'Données projet'!$E$18+1,1))</f>
        <v>254.35742752782755</v>
      </c>
      <c r="HA14" s="62">
        <f t="shared" si="52"/>
        <v>171.79611712137395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>
        <f>EXP(-LN(2)/35)*HG13+(1-EXP(-LN(2)/35))/(LN(2)/35)*HC14*HD14*VLOOKUP('Données projet'!$B$18,Paramètres!$A$1:$I$89,3,0)*0.475*44/12</f>
        <v>0</v>
      </c>
      <c r="HH14" s="23">
        <f>EXP(-LN(2)/25)*HH13+(1-EXP(-LN(2)/25))/(LN(2)/25)*Calculateur!HC14*Calculateur!HE14*VLOOKUP('Données projet'!$B$18,Paramètres!$A$1:$I$89,3,0)*0.475*44/12</f>
        <v>0</v>
      </c>
      <c r="HI14" s="23">
        <f>EXP(-LN(2)/2)*HI13+(1-EXP(-LN(2)/2))/(LN(2)/2)*HC14*HF14*VLOOKUP('Données projet'!$B$18,Paramètres!$A$1:$I$89,3,0)*0.475*44/12</f>
        <v>0</v>
      </c>
      <c r="HJ14" s="24">
        <f t="shared" si="30"/>
        <v>0</v>
      </c>
    </row>
    <row r="15" spans="1:218" s="5" customFormat="1" x14ac:dyDescent="0.3">
      <c r="A15" s="11">
        <f t="shared" si="31"/>
        <v>12</v>
      </c>
      <c r="B15" s="76">
        <f>'Scénario référence'!$B$16*5+'Scénario référence'!$B$17*0+'Scénario référence'!$B$18*5</f>
        <v>3.9405000000000001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14.448500000000001</v>
      </c>
      <c r="H15" s="69">
        <f t="shared" si="1"/>
        <v>161.30656666666667</v>
      </c>
      <c r="I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45.724785118534037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1.4025641025641027</v>
      </c>
      <c r="N15" s="14">
        <f>IF('Données projet'!$A$36&gt;35,N14+M15-V14,IF(A15&lt;'Données projet'!$A$36,$K$205^A15,IF(A15='Données projet'!$A$36,'Données projet'!$B$36,N14+M15-V14)))</f>
        <v>11.43960905118675</v>
      </c>
      <c r="O15" s="14">
        <f>N15*VLOOKUP('Données projet'!$B$9,Paramètres!$A$1:$I$89,3,0)*VLOOKUP('Données projet'!$B$9,Paramètres!$A$1:$I$89,5,0)</f>
        <v>6.6921712949442487</v>
      </c>
      <c r="P15" s="14">
        <f t="shared" si="33"/>
        <v>2.4718556709795672</v>
      </c>
      <c r="Q15" s="22">
        <f t="shared" si="2"/>
        <v>15.960680298983979</v>
      </c>
      <c r="R15" s="62">
        <f t="shared" si="0"/>
        <v>198.28489240027545</v>
      </c>
      <c r="S15" s="62">
        <f ca="1">AVERAGE(OFFSET($R$3,0,0,'Données projet'!$E$9+1,1))-AVERAGE(OFFSET($H$3,0,0,'Données projet'!$E$9+1,1))</f>
        <v>210.54472399593521</v>
      </c>
      <c r="T15" s="62">
        <f t="shared" si="34"/>
        <v>181.14158435194193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45.724785118534037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4.0533333333333328</v>
      </c>
      <c r="AI15" s="14">
        <f>IF('Données projet'!$A$62&gt;35,AI14+AH15-AQ14,IF(A15&lt;'Données projet'!$A$62,$AF$205^A15,IF(A15='Données projet'!$A$62,'Données projet'!$B$62,AI14+AH15-AQ14)))</f>
        <v>26.737627184418258</v>
      </c>
      <c r="AJ15" s="14">
        <f>AI15*VLOOKUP('Données projet'!$B$10,Paramètres!$A$1:$I$89,3,0)*VLOOKUP('Données projet'!$B$10,Paramètres!$A$1:$I$89,5,0)</f>
        <v>13.903566135897496</v>
      </c>
      <c r="AK15" s="14">
        <f t="shared" si="35"/>
        <v>4.7164841729633187</v>
      </c>
      <c r="AL15" s="22">
        <f t="shared" si="4"/>
        <v>32.429920954599254</v>
      </c>
      <c r="AM15" s="62">
        <f t="shared" si="5"/>
        <v>214.75413305589072</v>
      </c>
      <c r="AN15" s="62">
        <f ca="1">AVERAGE(OFFSET($AM$3,0,0,'Données projet'!$E$10+1,1))-AVERAGE(OFFSET($H$3,0,0,'Données projet'!$E$10+1,1))</f>
        <v>289.05608923588198</v>
      </c>
      <c r="AO15" s="62">
        <f t="shared" si="36"/>
        <v>220.06639020312738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45.724785118534037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1.9558333333333331</v>
      </c>
      <c r="BD15" s="13">
        <f>IF('Données projet'!$A$88&gt;35,BD14+BC15-BL14,IF(A15&lt;'Données projet'!$A$88,$BA$205^A15,IF(A15='Données projet'!$A$88,'Données projet'!$B$88,BD14+BC15-BL14)))</f>
        <v>19.253333333333334</v>
      </c>
      <c r="BE15" s="14">
        <f>BD15*VLOOKUP('Données projet'!$B$11,Paramètres!$A$1:$I$89,3,0)*VLOOKUP('Données projet'!$B$11,Paramètres!$A$1:$I$89,5,0)</f>
        <v>22.179839999999999</v>
      </c>
      <c r="BF15" s="14">
        <f t="shared" si="37"/>
        <v>7.1259195506874313</v>
      </c>
      <c r="BG15" s="22">
        <f t="shared" si="7"/>
        <v>51.040864550780604</v>
      </c>
      <c r="BH15" s="62">
        <f t="shared" si="8"/>
        <v>233.36507665207208</v>
      </c>
      <c r="BI15" s="62">
        <f ca="1">AVERAGE(OFFSET($BH$3,0,0,'Données projet'!$E$11+1,1))-AVERAGE(OFFSET($H$3,0,0,'Données projet'!$E$11+1,1))</f>
        <v>299.54950406029354</v>
      </c>
      <c r="BJ15" s="62">
        <f t="shared" si="38"/>
        <v>208.26364698165739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45.724785118534037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1.8269230769230771</v>
      </c>
      <c r="BY15" s="13">
        <f>IF('Données projet'!$A$114&gt;35,BY14+BX15-CG14,IF(A15&lt;'Données projet'!$A$114,$BV$205^A15,IF(A15='Données projet'!$A$114,'Données projet'!$B$114,BY14+BX15-CG14)))</f>
        <v>8.662637764539145</v>
      </c>
      <c r="BZ15" s="14">
        <f>BY15*VLOOKUP('Données projet'!$B$12,Paramètres!$A$1:$I$89,3,0)*VLOOKUP('Données projet'!$B$12,Paramètres!$A$1:$I$89,5,0)</f>
        <v>9.3244632897499358</v>
      </c>
      <c r="CA15" s="14">
        <f t="shared" si="39"/>
        <v>3.3136885945406007</v>
      </c>
      <c r="CB15" s="22">
        <f t="shared" si="10"/>
        <v>22.011447865139349</v>
      </c>
      <c r="CC15" s="62">
        <f t="shared" si="11"/>
        <v>204.33565996643082</v>
      </c>
      <c r="CD15" s="62">
        <f ca="1">AVERAGE(OFFSET($CC$3,0,0,'Données projet'!$E$12+1,1))-AVERAGE(OFFSET($H$3,0,0,'Données projet'!$E$12+1,1))</f>
        <v>441.30518831297212</v>
      </c>
      <c r="CE15" s="62">
        <f t="shared" si="40"/>
        <v>270.42872405271851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45.724785118534037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0.6</v>
      </c>
      <c r="CT15" s="13">
        <f>IF('Données projet'!$A$140&gt;35,CT14+CS15-DB14,IF(A15&lt;'Données projet'!$A$140,$CQ$205^A15,IF(A15='Données projet'!$A$140,'Données projet'!$B$140,CT14+CS15-DB14)))</f>
        <v>5.799546134795289</v>
      </c>
      <c r="CU15" s="18">
        <f>CT15*VLOOKUP('Données projet'!$B$13,Paramètres!$A$1:$I$89,3,0)*VLOOKUP('Données projet'!$B$13,Paramètres!$A$1:$I$89,5,0)</f>
        <v>5.0664835033571656</v>
      </c>
      <c r="CV15" s="14">
        <f t="shared" si="41"/>
        <v>1.9329955120863267</v>
      </c>
      <c r="CW15" s="22">
        <f t="shared" si="13"/>
        <v>12.190759285230749</v>
      </c>
      <c r="CX15" s="62">
        <f t="shared" si="14"/>
        <v>194.51497138652221</v>
      </c>
      <c r="CY15" s="62">
        <f ca="1">AVERAGE(OFFSET($CX$3,0,0,'Données projet'!$E$13+1,1))-AVERAGE(OFFSET($H$3,0,0,'Données projet'!$E$13+1,1))</f>
        <v>310.81258463659196</v>
      </c>
      <c r="CZ15" s="62">
        <f t="shared" si="42"/>
        <v>287.31099756692083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45.724785118534037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1.8269230769230771</v>
      </c>
      <c r="DO15" s="13">
        <f>IF('Données projet'!$A$166&gt;35,DO14+DN15-DW14,IF(A15&lt;'Données projet'!$A$166,$DL$205^A15,IF(A15='Données projet'!$A$166,'Données projet'!$B$166,DO14+DN15-DW14)))</f>
        <v>8.662637764539145</v>
      </c>
      <c r="DP15" s="18">
        <f>DO15*VLOOKUP('Données projet'!$B$14,Paramètres!$A$1:$I$89,3,0)*VLOOKUP('Données projet'!$B$14,Paramètres!$A$1:$I$89,5,0)</f>
        <v>9.0541889914963161</v>
      </c>
      <c r="DQ15" s="14">
        <f t="shared" si="43"/>
        <v>3.228675008466193</v>
      </c>
      <c r="DR15" s="22">
        <f t="shared" si="16"/>
        <v>21.3926547999347</v>
      </c>
      <c r="DS15" s="62">
        <f t="shared" si="17"/>
        <v>203.71686690122615</v>
      </c>
      <c r="DT15" s="62">
        <f ca="1">AVERAGE(OFFSET($DS$3,0,0,'Données projet'!$E$14+1,1))-AVERAGE(OFFSET($H$3,0,0,'Données projet'!$E$14+1,1))</f>
        <v>431.19274104373625</v>
      </c>
      <c r="DU15" s="62">
        <f t="shared" si="44"/>
        <v>264.67919175178133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45.724785118534037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3.4425641025641025</v>
      </c>
      <c r="EJ15" s="13">
        <f>IF('Données projet'!$A$192&gt;35,EJ14+EI15-ER14,IF(A15&lt;'Données projet'!$A$192,$EG$205^A15,IF(A15='Données projet'!$A$192,'Données projet'!$B$192,EJ14+EI15-ER14)))</f>
        <v>6.3914782624899003</v>
      </c>
      <c r="EK15" s="18">
        <f>EJ15*VLOOKUP('Données projet'!$B$15,Paramètres!$A$1:$I$89,3,0)*VLOOKUP('Données projet'!$B$15,Paramètres!$A$1:$I$89,5,0)</f>
        <v>2.9912118268452734</v>
      </c>
      <c r="EL15" s="14">
        <f t="shared" si="45"/>
        <v>1.2134185325879896</v>
      </c>
      <c r="EM15" s="22">
        <f t="shared" si="19"/>
        <v>7.3230645426796004</v>
      </c>
      <c r="EN15" s="62">
        <f t="shared" si="20"/>
        <v>189.64727664397105</v>
      </c>
      <c r="EO15" s="62">
        <f ca="1">AVERAGE(OFFSET($EN$3,0,0,'Données projet'!$E$15+1,1))-AVERAGE(OFFSET($H$3,0,0,'Données projet'!$E$15+1,1))</f>
        <v>291.68530745507815</v>
      </c>
      <c r="EP15" s="62">
        <f t="shared" si="46"/>
        <v>175.95121106728979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45.724785118534037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1.9333333333333333</v>
      </c>
      <c r="FE15" s="13">
        <f>IF('Données projet'!$A$218&gt;35,FE14+FD15-FM14,IF(A15&lt;'Données projet'!$A$218,$FB$205^A15,IF(A15='Données projet'!$A$218,'Données projet'!$B$218,FE14+FD15-FM14)))</f>
        <v>14.788304974808712</v>
      </c>
      <c r="FF15" s="18">
        <f>FE15*VLOOKUP('Données projet'!$B$16,Paramètres!$A$1:$I$89,3,0)*VLOOKUP('Données projet'!$B$16,Paramètres!$A$1:$I$89,5,0)</f>
        <v>9.6892974194946682</v>
      </c>
      <c r="FG15" s="14">
        <f t="shared" si="47"/>
        <v>3.4279930261114098</v>
      </c>
      <c r="FH15" s="22">
        <f t="shared" si="22"/>
        <v>22.845947526097252</v>
      </c>
      <c r="FI15" s="62">
        <f t="shared" si="23"/>
        <v>205.17015962738873</v>
      </c>
      <c r="FJ15" s="62">
        <f ca="1">AVERAGE(OFFSET($FI$3,0,0,'Données projet'!$E$16+1,1))-AVERAGE(OFFSET($H$3,0,0,'Données projet'!$E$16+1,1))</f>
        <v>248.75689726928428</v>
      </c>
      <c r="FK15" s="62">
        <f t="shared" si="48"/>
        <v>232.02291680388336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projet'!$B$16,Paramètres!$A$1:$I$89,3,0)*0.475*44/12</f>
        <v>0</v>
      </c>
      <c r="FR15" s="23">
        <f>EXP(-LN(2)/25)*FR14+(1-EXP(-LN(2)/25))/(LN(2)/25)*Calculateur!FM15*Calculateur!FO15*VLOOKUP('Données projet'!$B$16,Paramètres!$A$1:$I$89,3,0)*0.475*44/12</f>
        <v>0</v>
      </c>
      <c r="FS15" s="23">
        <f>EXP(-LN(2)/2)*FS14+(1-EXP(-LN(2)/2))/(LN(2)/2)*FM15*FP15*VLOOKUP('Données projet'!$B$16,Paramètres!$A$1:$I$89,3,0)*0.475*44/12</f>
        <v>0</v>
      </c>
      <c r="FT15" s="24">
        <f t="shared" si="24"/>
        <v>0</v>
      </c>
      <c r="FU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45.724785118534037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5</v>
      </c>
      <c r="FZ15" s="13">
        <f>IF('Données projet'!$A$244&gt;35,FZ14+FY15-GH14,IF(A15&lt;'Données projet'!$A$244,$FW$205^A15,IF(A15='Données projet'!$A$244,'Données projet'!$B$244,FZ14+FY15-GH14)))</f>
        <v>7.840778283673111</v>
      </c>
      <c r="GA15" s="18">
        <f>FZ15*VLOOKUP('Données projet'!$B$17,Paramètres!$A$1:$I$89,3,0)*VLOOKUP('Données projet'!$B$17,Paramètres!$A$1:$I$89,5,0)</f>
        <v>4.6887854136365208</v>
      </c>
      <c r="GB15" s="14">
        <f t="shared" si="49"/>
        <v>1.8050988794042542</v>
      </c>
      <c r="GC15" s="22">
        <f t="shared" si="25"/>
        <v>11.310181810379349</v>
      </c>
      <c r="GD15" s="62">
        <f t="shared" si="26"/>
        <v>193.63439391167083</v>
      </c>
      <c r="GE15" s="62">
        <f ca="1">AVERAGE(OFFSET($GD$3,0,0,'Données projet'!$E$17+1,1))-AVERAGE(OFFSET($H$3,0,0,'Données projet'!$E$17+1,1))</f>
        <v>315.909549580511</v>
      </c>
      <c r="GF15" s="62">
        <f t="shared" si="50"/>
        <v>208.56856525402051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projet'!$B$17,Paramètres!$A$1:$I$89,3,0)*0.475*44/12</f>
        <v>0</v>
      </c>
      <c r="GM15" s="23">
        <f>EXP(-LN(2)/25)*GM14+(1-EXP(-LN(2)/25))/(LN(2)/25)*Calculateur!GH15*Calculateur!GJ15*VLOOKUP('Données projet'!$B$17,Paramètres!$A$1:$I$89,3,0)*0.475*44/12</f>
        <v>0</v>
      </c>
      <c r="GN15" s="23">
        <f>EXP(-LN(2)/2)*GN14+(1-EXP(-LN(2)/2))/(LN(2)/2)*GH15*GK15*VLOOKUP('Données projet'!$B$17,Paramètres!$A$1:$I$89,3,0)*0.475*44/12</f>
        <v>0</v>
      </c>
      <c r="GO15" s="23">
        <f t="shared" si="27"/>
        <v>0</v>
      </c>
      <c r="GP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45.724785118534037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1.6346153846153846</v>
      </c>
      <c r="GU15" s="13">
        <f>IF('Données projet'!$A$270&gt;35,GU14+GT15-HC14,IF(A15&lt;'Données projet'!$A$270,$GR$205^A15,IF(A15='Données projet'!$A$270,'Données projet'!$B$270,GU14+GT15-HC14)))</f>
        <v>8.1034012980399712</v>
      </c>
      <c r="GV15" s="18">
        <f>GU15*VLOOKUP('Données projet'!$B$18,Paramètres!$A$1:$I$89,3,0)*VLOOKUP('Données projet'!$B$18,Paramètres!$A$1:$I$89,5,0)</f>
        <v>5.435761590725213</v>
      </c>
      <c r="GW15" s="14">
        <f t="shared" si="51"/>
        <v>2.0569709334145188</v>
      </c>
      <c r="GX15" s="22">
        <f t="shared" si="28"/>
        <v>13.049842479543365</v>
      </c>
      <c r="GY15" s="62">
        <f t="shared" si="29"/>
        <v>195.37405458083484</v>
      </c>
      <c r="GZ15" s="62">
        <f ca="1">AVERAGE(OFFSET($GY$3,0,0,'Données projet'!$E$18+1,1))-AVERAGE(OFFSET($H$3,0,0,'Données projet'!$E$18+1,1))</f>
        <v>254.35742752782755</v>
      </c>
      <c r="HA15" s="62">
        <f t="shared" si="52"/>
        <v>171.79611712137395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>
        <f>EXP(-LN(2)/35)*HG14+(1-EXP(-LN(2)/35))/(LN(2)/35)*HC15*HD15*VLOOKUP('Données projet'!$B$18,Paramètres!$A$1:$I$89,3,0)*0.475*44/12</f>
        <v>0</v>
      </c>
      <c r="HH15" s="23">
        <f>EXP(-LN(2)/25)*HH14+(1-EXP(-LN(2)/25))/(LN(2)/25)*Calculateur!HC15*Calculateur!HE15*VLOOKUP('Données projet'!$B$18,Paramètres!$A$1:$I$89,3,0)*0.475*44/12</f>
        <v>0</v>
      </c>
      <c r="HI15" s="23">
        <f>EXP(-LN(2)/2)*HI14+(1-EXP(-LN(2)/2))/(LN(2)/2)*HC15*HF15*VLOOKUP('Données projet'!$B$18,Paramètres!$A$1:$I$89,3,0)*0.475*44/12</f>
        <v>0</v>
      </c>
      <c r="HJ15" s="24">
        <f t="shared" si="30"/>
        <v>0</v>
      </c>
    </row>
    <row r="16" spans="1:218" s="5" customFormat="1" x14ac:dyDescent="0.3">
      <c r="A16" s="11">
        <f t="shared" si="31"/>
        <v>13</v>
      </c>
      <c r="B16" s="76">
        <f>'Scénario référence'!$B$16*5+'Scénario référence'!$B$17*0+'Scénario référence'!$B$18*5</f>
        <v>3.9405000000000001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14.448500000000001</v>
      </c>
      <c r="H16" s="69">
        <f t="shared" si="1"/>
        <v>161.30656666666667</v>
      </c>
      <c r="I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46.145905825477413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1.4025641025641027</v>
      </c>
      <c r="N16" s="14">
        <f>IF('Données projet'!$A$36&gt;35,N15+M16-V15,IF(A16&lt;'Données projet'!$A$36,$K$205^A16,IF(A16='Données projet'!$A$36,'Données projet'!$B$36,N15+M16-V15)))</f>
        <v>14.015613560189589</v>
      </c>
      <c r="O16" s="14">
        <f>N16*VLOOKUP('Données projet'!$B$9,Paramètres!$A$1:$I$89,3,0)*VLOOKUP('Données projet'!$B$9,Paramètres!$A$1:$I$89,5,0)</f>
        <v>8.1991339327109092</v>
      </c>
      <c r="P16" s="14">
        <f t="shared" si="33"/>
        <v>2.9577226870840314</v>
      </c>
      <c r="Q16" s="22">
        <f t="shared" si="2"/>
        <v>19.431525279476187</v>
      </c>
      <c r="R16" s="62">
        <f t="shared" si="0"/>
        <v>204.52206886178226</v>
      </c>
      <c r="S16" s="62">
        <f ca="1">AVERAGE(OFFSET($R$3,0,0,'Données projet'!$E$9+1,1))-AVERAGE(OFFSET($H$3,0,0,'Données projet'!$E$9+1,1))</f>
        <v>210.54472399593521</v>
      </c>
      <c r="T16" s="62">
        <f t="shared" si="34"/>
        <v>181.14158435194193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46.145905825477413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4.0533333333333328</v>
      </c>
      <c r="AI16" s="14">
        <f>IF('Données projet'!$A$62&gt;35,AI15+AH16-AQ15,IF(A16&lt;'Données projet'!$A$62,$AF$205^A16,IF(A16='Données projet'!$A$62,'Données projet'!$B$62,AI15+AH16-AQ15)))</f>
        <v>35.160073049389482</v>
      </c>
      <c r="AJ16" s="14">
        <f>AI16*VLOOKUP('Données projet'!$B$10,Paramètres!$A$1:$I$89,3,0)*VLOOKUP('Données projet'!$B$10,Paramètres!$A$1:$I$89,5,0)</f>
        <v>18.283237985682533</v>
      </c>
      <c r="AK16" s="14">
        <f t="shared" si="35"/>
        <v>6.0076164102695166</v>
      </c>
      <c r="AL16" s="22">
        <f t="shared" si="4"/>
        <v>42.306571406283155</v>
      </c>
      <c r="AM16" s="62">
        <f t="shared" si="5"/>
        <v>227.39711498858924</v>
      </c>
      <c r="AN16" s="62">
        <f ca="1">AVERAGE(OFFSET($AM$3,0,0,'Données projet'!$E$10+1,1))-AVERAGE(OFFSET($H$3,0,0,'Données projet'!$E$10+1,1))</f>
        <v>289.05608923588198</v>
      </c>
      <c r="AO16" s="62">
        <f t="shared" si="36"/>
        <v>220.06639020312738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46.145905825477413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1.9558333333333331</v>
      </c>
      <c r="BD16" s="13">
        <f>IF('Données projet'!$A$88&gt;35,BD15+BC16-BL15,IF(A16&lt;'Données projet'!$A$88,$BA$205^A16,IF(A16='Données projet'!$A$88,'Données projet'!$B$88,BD15+BC16-BL15)))</f>
        <v>21.209166666666668</v>
      </c>
      <c r="BE16" s="14">
        <f>BD16*VLOOKUP('Données projet'!$B$11,Paramètres!$A$1:$I$89,3,0)*VLOOKUP('Données projet'!$B$11,Paramètres!$A$1:$I$89,5,0)</f>
        <v>24.432960000000001</v>
      </c>
      <c r="BF16" s="14">
        <f t="shared" si="37"/>
        <v>7.7618944497956903</v>
      </c>
      <c r="BG16" s="22">
        <f t="shared" si="7"/>
        <v>56.072704833394162</v>
      </c>
      <c r="BH16" s="62">
        <f t="shared" si="8"/>
        <v>241.16324841570025</v>
      </c>
      <c r="BI16" s="62">
        <f ca="1">AVERAGE(OFFSET($BH$3,0,0,'Données projet'!$E$11+1,1))-AVERAGE(OFFSET($H$3,0,0,'Données projet'!$E$11+1,1))</f>
        <v>299.54950406029354</v>
      </c>
      <c r="BJ16" s="62">
        <f t="shared" si="38"/>
        <v>208.26364698165739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46.145905825477413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1.8269230769230771</v>
      </c>
      <c r="BY16" s="13">
        <f>IF('Données projet'!$A$114&gt;35,BY15+BX16-CG15,IF(A16&lt;'Données projet'!$A$114,$BV$205^A16,IF(A16='Données projet'!$A$114,'Données projet'!$B$114,BY15+BX16-CG15)))</f>
        <v>10.37021277416518</v>
      </c>
      <c r="BZ16" s="14">
        <f>BY16*VLOOKUP('Données projet'!$B$12,Paramètres!$A$1:$I$89,3,0)*VLOOKUP('Données projet'!$B$12,Paramètres!$A$1:$I$89,5,0)</f>
        <v>11.1624970301114</v>
      </c>
      <c r="CA16" s="14">
        <f t="shared" si="39"/>
        <v>3.8846688161376246</v>
      </c>
      <c r="CB16" s="22">
        <f t="shared" si="10"/>
        <v>26.207147182217046</v>
      </c>
      <c r="CC16" s="62">
        <f t="shared" si="11"/>
        <v>211.29769076452314</v>
      </c>
      <c r="CD16" s="62">
        <f ca="1">AVERAGE(OFFSET($CC$3,0,0,'Données projet'!$E$12+1,1))-AVERAGE(OFFSET($H$3,0,0,'Données projet'!$E$12+1,1))</f>
        <v>441.30518831297212</v>
      </c>
      <c r="CE16" s="62">
        <f t="shared" si="40"/>
        <v>270.42872405271851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46.145905825477413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0.6</v>
      </c>
      <c r="CT16" s="13">
        <f>IF('Données projet'!$A$140&gt;35,CT15+CS16-DB15,IF(A16&lt;'Données projet'!$A$140,$CQ$205^A16,IF(A16='Données projet'!$A$140,'Données projet'!$B$140,CT15+CS16-DB15)))</f>
        <v>6.7144458364886441</v>
      </c>
      <c r="CU16" s="18">
        <f>CT16*VLOOKUP('Données projet'!$B$13,Paramètres!$A$1:$I$89,3,0)*VLOOKUP('Données projet'!$B$13,Paramètres!$A$1:$I$89,5,0)</f>
        <v>5.86573988275648</v>
      </c>
      <c r="CV16" s="14">
        <f t="shared" si="41"/>
        <v>2.2000983287624218</v>
      </c>
      <c r="CW16" s="22">
        <f t="shared" si="13"/>
        <v>14.048001551728753</v>
      </c>
      <c r="CX16" s="62">
        <f t="shared" si="14"/>
        <v>199.13854513403484</v>
      </c>
      <c r="CY16" s="62">
        <f ca="1">AVERAGE(OFFSET($CX$3,0,0,'Données projet'!$E$13+1,1))-AVERAGE(OFFSET($H$3,0,0,'Données projet'!$E$13+1,1))</f>
        <v>310.81258463659196</v>
      </c>
      <c r="CZ16" s="62">
        <f t="shared" si="42"/>
        <v>287.31099756692083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46.145905825477413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1.8269230769230771</v>
      </c>
      <c r="DO16" s="13">
        <f>IF('Données projet'!$A$166&gt;35,DO15+DN16-DW15,IF(A16&lt;'Données projet'!$A$166,$DL$205^A16,IF(A16='Données projet'!$A$166,'Données projet'!$B$166,DO15+DN16-DW15)))</f>
        <v>10.37021277416518</v>
      </c>
      <c r="DP16" s="18">
        <f>DO16*VLOOKUP('Données projet'!$B$14,Paramètres!$A$1:$I$89,3,0)*VLOOKUP('Données projet'!$B$14,Paramètres!$A$1:$I$89,5,0)</f>
        <v>10.838946391557448</v>
      </c>
      <c r="DQ16" s="14">
        <f t="shared" si="43"/>
        <v>3.7850065765067242</v>
      </c>
      <c r="DR16" s="22">
        <f t="shared" si="16"/>
        <v>25.470051419378432</v>
      </c>
      <c r="DS16" s="62">
        <f t="shared" si="17"/>
        <v>210.5605950016845</v>
      </c>
      <c r="DT16" s="62">
        <f ca="1">AVERAGE(OFFSET($DS$3,0,0,'Données projet'!$E$14+1,1))-AVERAGE(OFFSET($H$3,0,0,'Données projet'!$E$14+1,1))</f>
        <v>431.19274104373625</v>
      </c>
      <c r="DU16" s="62">
        <f t="shared" si="44"/>
        <v>264.67919175178133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46.145905825477413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3.4425641025641025</v>
      </c>
      <c r="EJ16" s="13">
        <f>IF('Données projet'!$A$192&gt;35,EJ15+EI16-ER15,IF(A16&lt;'Données projet'!$A$192,$EG$205^A16,IF(A16='Données projet'!$A$192,'Données projet'!$B$192,EJ15+EI16-ER15)))</f>
        <v>7.459930119048451</v>
      </c>
      <c r="EK16" s="18">
        <f>EJ16*VLOOKUP('Données projet'!$B$15,Paramètres!$A$1:$I$89,3,0)*VLOOKUP('Données projet'!$B$15,Paramètres!$A$1:$I$89,5,0)</f>
        <v>3.4912472957146754</v>
      </c>
      <c r="EL16" s="14">
        <f t="shared" si="45"/>
        <v>1.3910083400895945</v>
      </c>
      <c r="EM16" s="22">
        <f t="shared" si="19"/>
        <v>8.5032618990257713</v>
      </c>
      <c r="EN16" s="62">
        <f t="shared" si="20"/>
        <v>193.59380548133186</v>
      </c>
      <c r="EO16" s="62">
        <f ca="1">AVERAGE(OFFSET($EN$3,0,0,'Données projet'!$E$15+1,1))-AVERAGE(OFFSET($H$3,0,0,'Données projet'!$E$15+1,1))</f>
        <v>291.68530745507815</v>
      </c>
      <c r="EP16" s="62">
        <f t="shared" si="46"/>
        <v>175.95121106728979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46.145905825477413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1.9333333333333333</v>
      </c>
      <c r="FE16" s="13">
        <f>IF('Données projet'!$A$218&gt;35,FE15+FD16-FM15,IF(A16&lt;'Données projet'!$A$218,$FB$205^A16,IF(A16='Données projet'!$A$218,'Données projet'!$B$218,FE15+FD16-FM15)))</f>
        <v>18.510220752863528</v>
      </c>
      <c r="FF16" s="18">
        <f>FE16*VLOOKUP('Données projet'!$B$16,Paramètres!$A$1:$I$89,3,0)*VLOOKUP('Données projet'!$B$16,Paramètres!$A$1:$I$89,5,0)</f>
        <v>12.127896637276184</v>
      </c>
      <c r="FG16" s="14">
        <f t="shared" si="47"/>
        <v>4.1800831528646842</v>
      </c>
      <c r="FH16" s="22">
        <f t="shared" si="22"/>
        <v>28.403064801162014</v>
      </c>
      <c r="FI16" s="62">
        <f t="shared" si="23"/>
        <v>213.49360838346809</v>
      </c>
      <c r="FJ16" s="62">
        <f ca="1">AVERAGE(OFFSET($FI$3,0,0,'Données projet'!$E$16+1,1))-AVERAGE(OFFSET($H$3,0,0,'Données projet'!$E$16+1,1))</f>
        <v>248.75689726928428</v>
      </c>
      <c r="FK16" s="62">
        <f t="shared" si="48"/>
        <v>232.02291680388336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projet'!$B$16,Paramètres!$A$1:$I$89,3,0)*0.475*44/12</f>
        <v>0</v>
      </c>
      <c r="FR16" s="23">
        <f>EXP(-LN(2)/25)*FR15+(1-EXP(-LN(2)/25))/(LN(2)/25)*Calculateur!FM16*Calculateur!FO16*VLOOKUP('Données projet'!$B$16,Paramètres!$A$1:$I$89,3,0)*0.475*44/12</f>
        <v>0</v>
      </c>
      <c r="FS16" s="23">
        <f>EXP(-LN(2)/2)*FS15+(1-EXP(-LN(2)/2))/(LN(2)/2)*FM16*FP16*VLOOKUP('Données projet'!$B$16,Paramètres!$A$1:$I$89,3,0)*0.475*44/12</f>
        <v>0</v>
      </c>
      <c r="FT16" s="24">
        <f t="shared" si="24"/>
        <v>0</v>
      </c>
      <c r="FU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46.145905825477413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5</v>
      </c>
      <c r="FZ16" s="13">
        <f>IF('Données projet'!$A$244&gt;35,FZ15+FY16-GH15,IF(A16&lt;'Données projet'!$A$244,$FW$205^A16,IF(A16='Données projet'!$A$244,'Données projet'!$B$244,FZ15+FY16-GH15)))</f>
        <v>9.3087015073900403</v>
      </c>
      <c r="GA16" s="18">
        <f>FZ16*VLOOKUP('Données projet'!$B$17,Paramètres!$A$1:$I$89,3,0)*VLOOKUP('Données projet'!$B$17,Paramètres!$A$1:$I$89,5,0)</f>
        <v>5.5666035014192454</v>
      </c>
      <c r="GB16" s="14">
        <f t="shared" si="49"/>
        <v>2.1006594093740265</v>
      </c>
      <c r="GC16" s="22">
        <f t="shared" si="25"/>
        <v>13.353816236298281</v>
      </c>
      <c r="GD16" s="62">
        <f t="shared" si="26"/>
        <v>198.44435981860437</v>
      </c>
      <c r="GE16" s="62">
        <f ca="1">AVERAGE(OFFSET($GD$3,0,0,'Données projet'!$E$17+1,1))-AVERAGE(OFFSET($H$3,0,0,'Données projet'!$E$17+1,1))</f>
        <v>315.909549580511</v>
      </c>
      <c r="GF16" s="62">
        <f t="shared" si="50"/>
        <v>208.56856525402051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projet'!$B$17,Paramètres!$A$1:$I$89,3,0)*0.475*44/12</f>
        <v>0</v>
      </c>
      <c r="GM16" s="23">
        <f>EXP(-LN(2)/25)*GM15+(1-EXP(-LN(2)/25))/(LN(2)/25)*Calculateur!GH16*Calculateur!GJ16*VLOOKUP('Données projet'!$B$17,Paramètres!$A$1:$I$89,3,0)*0.475*44/12</f>
        <v>0</v>
      </c>
      <c r="GN16" s="23">
        <f>EXP(-LN(2)/2)*GN15+(1-EXP(-LN(2)/2))/(LN(2)/2)*GH16*GK16*VLOOKUP('Données projet'!$B$17,Paramètres!$A$1:$I$89,3,0)*0.475*44/12</f>
        <v>0</v>
      </c>
      <c r="GO16" s="23">
        <f t="shared" si="27"/>
        <v>0</v>
      </c>
      <c r="GP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46.145905825477413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1.6346153846153846</v>
      </c>
      <c r="GU16" s="13">
        <f>IF('Données projet'!$A$270&gt;35,GU15+GT16-HC15,IF(A16&lt;'Données projet'!$A$270,$GR$205^A16,IF(A16='Données projet'!$A$270,'Données projet'!$B$270,GU15+GT16-HC15)))</f>
        <v>9.6469410691889088</v>
      </c>
      <c r="GV16" s="18">
        <f>GU16*VLOOKUP('Données projet'!$B$18,Paramètres!$A$1:$I$89,3,0)*VLOOKUP('Données projet'!$B$18,Paramètres!$A$1:$I$89,5,0)</f>
        <v>6.4711680692119211</v>
      </c>
      <c r="GW16" s="14">
        <f t="shared" si="51"/>
        <v>2.399586226511079</v>
      </c>
      <c r="GX16" s="22">
        <f t="shared" si="28"/>
        <v>15.449897065050889</v>
      </c>
      <c r="GY16" s="62">
        <f t="shared" si="29"/>
        <v>200.54044064735697</v>
      </c>
      <c r="GZ16" s="62">
        <f ca="1">AVERAGE(OFFSET($GY$3,0,0,'Données projet'!$E$18+1,1))-AVERAGE(OFFSET($H$3,0,0,'Données projet'!$E$18+1,1))</f>
        <v>254.35742752782755</v>
      </c>
      <c r="HA16" s="62">
        <f t="shared" si="52"/>
        <v>171.79611712137395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>
        <f>EXP(-LN(2)/35)*HG15+(1-EXP(-LN(2)/35))/(LN(2)/35)*HC16*HD16*VLOOKUP('Données projet'!$B$18,Paramètres!$A$1:$I$89,3,0)*0.475*44/12</f>
        <v>0</v>
      </c>
      <c r="HH16" s="23">
        <f>EXP(-LN(2)/25)*HH15+(1-EXP(-LN(2)/25))/(LN(2)/25)*Calculateur!HC16*Calculateur!HE16*VLOOKUP('Données projet'!$B$18,Paramètres!$A$1:$I$89,3,0)*0.475*44/12</f>
        <v>0</v>
      </c>
      <c r="HI16" s="23">
        <f>EXP(-LN(2)/2)*HI15+(1-EXP(-LN(2)/2))/(LN(2)/2)*HC16*HF16*VLOOKUP('Données projet'!$B$18,Paramètres!$A$1:$I$89,3,0)*0.475*44/12</f>
        <v>0</v>
      </c>
      <c r="HJ16" s="24">
        <f t="shared" si="30"/>
        <v>0</v>
      </c>
    </row>
    <row r="17" spans="1:218" s="5" customFormat="1" x14ac:dyDescent="0.3">
      <c r="A17" s="11">
        <f t="shared" si="31"/>
        <v>14</v>
      </c>
      <c r="B17" s="76">
        <f>'Scénario référence'!$B$16*5+'Scénario référence'!$B$17*0+'Scénario référence'!$B$18*5</f>
        <v>3.9405000000000001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14.448500000000001</v>
      </c>
      <c r="H17" s="69">
        <f t="shared" si="1"/>
        <v>161.30656666666667</v>
      </c>
      <c r="I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46.559721029640187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1.4025641025641027</v>
      </c>
      <c r="N17" s="14">
        <f>IF('Données projet'!$A$36&gt;35,N16+M17-V16,IF(A17&lt;'Données projet'!$A$36,$K$205^A17,IF(A17='Données projet'!$A$36,'Données projet'!$B$36,N16+M17-V16)))</f>
        <v>17.171690272771318</v>
      </c>
      <c r="O17" s="14">
        <f>N17*VLOOKUP('Données projet'!$B$9,Paramètres!$A$1:$I$89,3,0)*VLOOKUP('Données projet'!$B$9,Paramètres!$A$1:$I$89,5,0)</f>
        <v>10.045438809571221</v>
      </c>
      <c r="P17" s="14">
        <f t="shared" si="33"/>
        <v>3.539091540172651</v>
      </c>
      <c r="Q17" s="22">
        <f t="shared" si="2"/>
        <v>23.659723692470578</v>
      </c>
      <c r="R17" s="62">
        <f t="shared" si="0"/>
        <v>211.48981191226238</v>
      </c>
      <c r="S17" s="62">
        <f ca="1">AVERAGE(OFFSET($R$3,0,0,'Données projet'!$E$9+1,1))-AVERAGE(OFFSET($H$3,0,0,'Données projet'!$E$9+1,1))</f>
        <v>210.54472399593521</v>
      </c>
      <c r="T17" s="62">
        <f t="shared" si="34"/>
        <v>181.14158435194193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46.559721029640187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4.0533333333333328</v>
      </c>
      <c r="AI17" s="14">
        <f>IF('Données projet'!$A$62&gt;35,AI16+AH17-AQ16,IF(A17&lt;'Données projet'!$A$62,$AF$205^A17,IF(A17='Données projet'!$A$62,'Données projet'!$B$62,AI16+AH17-AQ16)))</f>
        <v>46.235618752244257</v>
      </c>
      <c r="AJ17" s="14">
        <f>AI17*VLOOKUP('Données projet'!$B$10,Paramètres!$A$1:$I$89,3,0)*VLOOKUP('Données projet'!$B$10,Paramètres!$A$1:$I$89,5,0)</f>
        <v>24.042521751167016</v>
      </c>
      <c r="AK17" s="14">
        <f t="shared" si="35"/>
        <v>7.6521946452888621</v>
      </c>
      <c r="AL17" s="22">
        <f t="shared" si="4"/>
        <v>55.201631057160647</v>
      </c>
      <c r="AM17" s="62">
        <f t="shared" si="5"/>
        <v>243.03171927695246</v>
      </c>
      <c r="AN17" s="62">
        <f ca="1">AVERAGE(OFFSET($AM$3,0,0,'Données projet'!$E$10+1,1))-AVERAGE(OFFSET($H$3,0,0,'Données projet'!$E$10+1,1))</f>
        <v>289.05608923588198</v>
      </c>
      <c r="AO17" s="62">
        <f t="shared" si="36"/>
        <v>220.06639020312738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46.559721029640187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1.9558333333333331</v>
      </c>
      <c r="BD17" s="13">
        <f>IF('Données projet'!$A$88&gt;35,BD16+BC17-BL16,IF(A17&lt;'Données projet'!$A$88,$BA$205^A17,IF(A17='Données projet'!$A$88,'Données projet'!$B$88,BD16+BC17-BL16)))</f>
        <v>23.165000000000003</v>
      </c>
      <c r="BE17" s="14">
        <f>BD17*VLOOKUP('Données projet'!$B$11,Paramètres!$A$1:$I$89,3,0)*VLOOKUP('Données projet'!$B$11,Paramètres!$A$1:$I$89,5,0)</f>
        <v>26.68608</v>
      </c>
      <c r="BF17" s="14">
        <f t="shared" si="37"/>
        <v>8.3910691422038557</v>
      </c>
      <c r="BG17" s="22">
        <f t="shared" si="7"/>
        <v>61.092701422671723</v>
      </c>
      <c r="BH17" s="62">
        <f t="shared" si="8"/>
        <v>248.92278964246353</v>
      </c>
      <c r="BI17" s="62">
        <f ca="1">AVERAGE(OFFSET($BH$3,0,0,'Données projet'!$E$11+1,1))-AVERAGE(OFFSET($H$3,0,0,'Données projet'!$E$11+1,1))</f>
        <v>299.54950406029354</v>
      </c>
      <c r="BJ17" s="62">
        <f t="shared" si="38"/>
        <v>208.26364698165739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46.559721029640187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1.8269230769230771</v>
      </c>
      <c r="BY17" s="13">
        <f>IF('Données projet'!$A$114&gt;35,BY16+BX17-CG16,IF(A17&lt;'Données projet'!$A$114,$BV$205^A17,IF(A17='Données projet'!$A$114,'Données projet'!$B$114,BY16+BX17-CG16)))</f>
        <v>12.414384152328676</v>
      </c>
      <c r="BZ17" s="14">
        <f>BY17*VLOOKUP('Données projet'!$B$12,Paramètres!$A$1:$I$89,3,0)*VLOOKUP('Données projet'!$B$12,Paramètres!$A$1:$I$89,5,0)</f>
        <v>13.362843101566586</v>
      </c>
      <c r="CA17" s="14">
        <f t="shared" si="39"/>
        <v>4.5540343881239718</v>
      </c>
      <c r="CB17" s="22">
        <f t="shared" si="10"/>
        <v>31.20522829454438</v>
      </c>
      <c r="CC17" s="62">
        <f t="shared" si="11"/>
        <v>219.03531651433619</v>
      </c>
      <c r="CD17" s="62">
        <f ca="1">AVERAGE(OFFSET($CC$3,0,0,'Données projet'!$E$12+1,1))-AVERAGE(OFFSET($H$3,0,0,'Données projet'!$E$12+1,1))</f>
        <v>441.30518831297212</v>
      </c>
      <c r="CE17" s="62">
        <f t="shared" si="40"/>
        <v>270.42872405271851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46.559721029640187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0.6</v>
      </c>
      <c r="CT17" s="13">
        <f>IF('Données projet'!$A$140&gt;35,CT16+CS17-DB16,IF(A17&lt;'Données projet'!$A$140,$CQ$205^A17,IF(A17='Données projet'!$A$140,'Données projet'!$B$140,CT16+CS17-DB16)))</f>
        <v>7.7736743261084582</v>
      </c>
      <c r="CU17" s="18">
        <f>CT17*VLOOKUP('Données projet'!$B$13,Paramètres!$A$1:$I$89,3,0)*VLOOKUP('Données projet'!$B$13,Paramètres!$A$1:$I$89,5,0)</f>
        <v>6.7910818912883508</v>
      </c>
      <c r="CV17" s="14">
        <f t="shared" si="41"/>
        <v>2.5041096194780144</v>
      </c>
      <c r="CW17" s="22">
        <f t="shared" si="13"/>
        <v>16.189125214584752</v>
      </c>
      <c r="CX17" s="62">
        <f t="shared" si="14"/>
        <v>204.01921343437655</v>
      </c>
      <c r="CY17" s="62">
        <f ca="1">AVERAGE(OFFSET($CX$3,0,0,'Données projet'!$E$13+1,1))-AVERAGE(OFFSET($H$3,0,0,'Données projet'!$E$13+1,1))</f>
        <v>310.81258463659196</v>
      </c>
      <c r="CZ17" s="62">
        <f t="shared" si="42"/>
        <v>287.31099756692083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46.559721029640187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1.8269230769230771</v>
      </c>
      <c r="DO17" s="13">
        <f>IF('Données projet'!$A$166&gt;35,DO16+DN17-DW16,IF(A17&lt;'Données projet'!$A$166,$DL$205^A17,IF(A17='Données projet'!$A$166,'Données projet'!$B$166,DO16+DN17-DW16)))</f>
        <v>12.414384152328676</v>
      </c>
      <c r="DP17" s="18">
        <f>DO17*VLOOKUP('Données projet'!$B$14,Paramètres!$A$1:$I$89,3,0)*VLOOKUP('Données projet'!$B$14,Paramètres!$A$1:$I$89,5,0)</f>
        <v>12.975514316013934</v>
      </c>
      <c r="DQ17" s="14">
        <f t="shared" si="43"/>
        <v>4.437199391896975</v>
      </c>
      <c r="DR17" s="22">
        <f t="shared" si="16"/>
        <v>30.327143041278173</v>
      </c>
      <c r="DS17" s="62">
        <f t="shared" si="17"/>
        <v>218.15723126106997</v>
      </c>
      <c r="DT17" s="62">
        <f ca="1">AVERAGE(OFFSET($DS$3,0,0,'Données projet'!$E$14+1,1))-AVERAGE(OFFSET($H$3,0,0,'Données projet'!$E$14+1,1))</f>
        <v>431.19274104373625</v>
      </c>
      <c r="DU17" s="62">
        <f t="shared" si="44"/>
        <v>264.67919175178133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46.559721029640187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3.4425641025641025</v>
      </c>
      <c r="EJ17" s="13">
        <f>IF('Données projet'!$A$192&gt;35,EJ16+EI17-ER16,IF(A17&lt;'Données projet'!$A$192,$EG$205^A17,IF(A17='Données projet'!$A$192,'Données projet'!$B$192,EJ16+EI17-ER16)))</f>
        <v>8.7069931392376674</v>
      </c>
      <c r="EK17" s="18">
        <f>EJ17*VLOOKUP('Données projet'!$B$15,Paramètres!$A$1:$I$89,3,0)*VLOOKUP('Données projet'!$B$15,Paramètres!$A$1:$I$89,5,0)</f>
        <v>4.0748727891632281</v>
      </c>
      <c r="EL17" s="14">
        <f t="shared" si="45"/>
        <v>1.5945892948181934</v>
      </c>
      <c r="EM17" s="22">
        <f t="shared" si="19"/>
        <v>9.8743131296009761</v>
      </c>
      <c r="EN17" s="62">
        <f t="shared" si="20"/>
        <v>197.70440134939278</v>
      </c>
      <c r="EO17" s="62">
        <f ca="1">AVERAGE(OFFSET($EN$3,0,0,'Données projet'!$E$15+1,1))-AVERAGE(OFFSET($H$3,0,0,'Données projet'!$E$15+1,1))</f>
        <v>291.68530745507815</v>
      </c>
      <c r="EP17" s="62">
        <f t="shared" si="46"/>
        <v>175.95121106728979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46.559721029640187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1.9333333333333333</v>
      </c>
      <c r="FE17" s="13">
        <f>IF('Données projet'!$A$218&gt;35,FE16+FD17-FM16,IF(A17&lt;'Données projet'!$A$218,$FB$205^A17,IF(A17='Données projet'!$A$218,'Données projet'!$B$218,FE16+FD17-FM16)))</f>
        <v>23.16886708134524</v>
      </c>
      <c r="FF17" s="18">
        <f>FE17*VLOOKUP('Données projet'!$B$16,Paramètres!$A$1:$I$89,3,0)*VLOOKUP('Données projet'!$B$16,Paramètres!$A$1:$I$89,5,0)</f>
        <v>15.180241711697402</v>
      </c>
      <c r="FG17" s="14">
        <f t="shared" si="47"/>
        <v>5.0971793208937788</v>
      </c>
      <c r="FH17" s="22">
        <f t="shared" si="22"/>
        <v>35.316508298429639</v>
      </c>
      <c r="FI17" s="62">
        <f t="shared" si="23"/>
        <v>223.14659651822143</v>
      </c>
      <c r="FJ17" s="62">
        <f ca="1">AVERAGE(OFFSET($FI$3,0,0,'Données projet'!$E$16+1,1))-AVERAGE(OFFSET($H$3,0,0,'Données projet'!$E$16+1,1))</f>
        <v>248.75689726928428</v>
      </c>
      <c r="FK17" s="62">
        <f t="shared" si="48"/>
        <v>232.02291680388336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projet'!$B$16,Paramètres!$A$1:$I$89,3,0)*0.475*44/12</f>
        <v>0</v>
      </c>
      <c r="FR17" s="23">
        <f>EXP(-LN(2)/25)*FR16+(1-EXP(-LN(2)/25))/(LN(2)/25)*Calculateur!FM17*Calculateur!FO17*VLOOKUP('Données projet'!$B$16,Paramètres!$A$1:$I$89,3,0)*0.475*44/12</f>
        <v>0</v>
      </c>
      <c r="FS17" s="23">
        <f>EXP(-LN(2)/2)*FS16+(1-EXP(-LN(2)/2))/(LN(2)/2)*FM17*FP17*VLOOKUP('Données projet'!$B$16,Paramètres!$A$1:$I$89,3,0)*0.475*44/12</f>
        <v>0</v>
      </c>
      <c r="FT17" s="24">
        <f t="shared" si="24"/>
        <v>0</v>
      </c>
      <c r="FU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46.559721029640187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5</v>
      </c>
      <c r="FZ17" s="13">
        <f>IF('Données projet'!$A$244&gt;35,FZ16+FY17-GH16,IF(A17&lt;'Données projet'!$A$244,$FW$205^A17,IF(A17='Données projet'!$A$244,'Données projet'!$B$244,FZ16+FY17-GH16)))</f>
        <v>11.05144420855788</v>
      </c>
      <c r="GA17" s="18">
        <f>FZ17*VLOOKUP('Données projet'!$B$17,Paramètres!$A$1:$I$89,3,0)*VLOOKUP('Données projet'!$B$17,Paramètres!$A$1:$I$89,5,0)</f>
        <v>6.6087636367176126</v>
      </c>
      <c r="GB17" s="14">
        <f t="shared" si="49"/>
        <v>2.4446139790680053</v>
      </c>
      <c r="GC17" s="22">
        <f t="shared" si="25"/>
        <v>15.767966014159951</v>
      </c>
      <c r="GD17" s="62">
        <f t="shared" si="26"/>
        <v>203.59805423395176</v>
      </c>
      <c r="GE17" s="62">
        <f ca="1">AVERAGE(OFFSET($GD$3,0,0,'Données projet'!$E$17+1,1))-AVERAGE(OFFSET($H$3,0,0,'Données projet'!$E$17+1,1))</f>
        <v>315.909549580511</v>
      </c>
      <c r="GF17" s="62">
        <f t="shared" si="50"/>
        <v>208.56856525402051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>
        <f>EXP(-LN(2)/35)*GL16+(1-EXP(-LN(2)/35))/(LN(2)/35)*GH17*GI17*VLOOKUP('Données projet'!$B$17,Paramètres!$A$1:$I$89,3,0)*0.475*44/12</f>
        <v>0</v>
      </c>
      <c r="GM17" s="23">
        <f>EXP(-LN(2)/25)*GM16+(1-EXP(-LN(2)/25))/(LN(2)/25)*Calculateur!GH17*Calculateur!GJ17*VLOOKUP('Données projet'!$B$17,Paramètres!$A$1:$I$89,3,0)*0.475*44/12</f>
        <v>0</v>
      </c>
      <c r="GN17" s="23">
        <f>EXP(-LN(2)/2)*GN16+(1-EXP(-LN(2)/2))/(LN(2)/2)*GH17*GK17*VLOOKUP('Données projet'!$B$17,Paramètres!$A$1:$I$89,3,0)*0.475*44/12</f>
        <v>0</v>
      </c>
      <c r="GO17" s="23">
        <f t="shared" si="27"/>
        <v>0</v>
      </c>
      <c r="GP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46.559721029640187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1.6346153846153846</v>
      </c>
      <c r="GU17" s="13">
        <f>IF('Données projet'!$A$270&gt;35,GU16+GT17-HC16,IF(A17&lt;'Données projet'!$A$270,$GR$205^A17,IF(A17='Données projet'!$A$270,'Données projet'!$B$270,GU16+GT17-HC16)))</f>
        <v>11.484495037276947</v>
      </c>
      <c r="GV17" s="18">
        <f>GU17*VLOOKUP('Données projet'!$B$18,Paramètres!$A$1:$I$89,3,0)*VLOOKUP('Données projet'!$B$18,Paramètres!$A$1:$I$89,5,0)</f>
        <v>7.7037992710053755</v>
      </c>
      <c r="GW17" s="14">
        <f t="shared" si="51"/>
        <v>2.7992685579195422</v>
      </c>
      <c r="GX17" s="22">
        <f t="shared" si="28"/>
        <v>18.292843135377566</v>
      </c>
      <c r="GY17" s="62">
        <f t="shared" si="29"/>
        <v>206.12293135516938</v>
      </c>
      <c r="GZ17" s="62">
        <f ca="1">AVERAGE(OFFSET($GY$3,0,0,'Données projet'!$E$18+1,1))-AVERAGE(OFFSET($H$3,0,0,'Données projet'!$E$18+1,1))</f>
        <v>254.35742752782755</v>
      </c>
      <c r="HA17" s="62">
        <f t="shared" si="52"/>
        <v>171.79611712137395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>
        <f>EXP(-LN(2)/35)*HG16+(1-EXP(-LN(2)/35))/(LN(2)/35)*HC17*HD17*VLOOKUP('Données projet'!$B$18,Paramètres!$A$1:$I$89,3,0)*0.475*44/12</f>
        <v>0</v>
      </c>
      <c r="HH17" s="23">
        <f>EXP(-LN(2)/25)*HH16+(1-EXP(-LN(2)/25))/(LN(2)/25)*Calculateur!HC17*Calculateur!HE17*VLOOKUP('Données projet'!$B$18,Paramètres!$A$1:$I$89,3,0)*0.475*44/12</f>
        <v>0</v>
      </c>
      <c r="HI17" s="23">
        <f>EXP(-LN(2)/2)*HI16+(1-EXP(-LN(2)/2))/(LN(2)/2)*HC17*HF17*VLOOKUP('Données projet'!$B$18,Paramètres!$A$1:$I$89,3,0)*0.475*44/12</f>
        <v>0</v>
      </c>
      <c r="HJ17" s="24">
        <f t="shared" si="30"/>
        <v>0</v>
      </c>
    </row>
    <row r="18" spans="1:218" s="5" customFormat="1" x14ac:dyDescent="0.3">
      <c r="A18" s="11">
        <f t="shared" si="31"/>
        <v>15</v>
      </c>
      <c r="B18" s="76">
        <f>'Scénario référence'!$B$16*5+'Scénario référence'!$B$17*0+'Scénario référence'!$B$18*5</f>
        <v>3.9405000000000001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14.448500000000001</v>
      </c>
      <c r="H18" s="69">
        <f t="shared" si="1"/>
        <v>161.30656666666667</v>
      </c>
      <c r="I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46.966357465162922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21.03846153846154</v>
      </c>
      <c r="L18" s="13">
        <f>VLOOKUP(A18,'Données projet'!$A$35:$I$55,9,0)</f>
        <v>1.4025641025641027</v>
      </c>
      <c r="M18" s="13">
        <f t="array" ref="M18">INDEX(L:L,MIN(IF(ISNUMBER(L18:L214),ROW(L18:L214),"")))</f>
        <v>1.4025641025641027</v>
      </c>
      <c r="N18" s="14">
        <f>IF('Données projet'!$A$36&gt;35,N17+M18-V17,IF(A18&lt;'Données projet'!$A$36,$K$205^A18,IF(A18='Données projet'!$A$36,'Données projet'!$B$36,N17+M18-V17)))</f>
        <v>21.03846153846154</v>
      </c>
      <c r="O18" s="14">
        <f>N18*VLOOKUP('Données projet'!$B$9,Paramètres!$A$1:$I$89,3,0)*VLOOKUP('Données projet'!$B$9,Paramètres!$A$1:$I$89,5,0)</f>
        <v>12.307500000000003</v>
      </c>
      <c r="P18" s="14">
        <f t="shared" si="33"/>
        <v>4.234734035214764</v>
      </c>
      <c r="Q18" s="22">
        <f t="shared" si="2"/>
        <v>28.811057611332387</v>
      </c>
      <c r="R18" s="62">
        <f t="shared" si="0"/>
        <v>219.35436831692977</v>
      </c>
      <c r="S18" s="62">
        <f ca="1">AVERAGE(OFFSET($R$3,0,0,'Données projet'!$E$9+1,1))-AVERAGE(OFFSET($H$3,0,0,'Données projet'!$E$9+1,1))</f>
        <v>210.54472399593521</v>
      </c>
      <c r="T18" s="62">
        <f t="shared" si="34"/>
        <v>181.14158435194193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46.966357465162922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60.8</v>
      </c>
      <c r="AG18" s="13">
        <f>VLOOKUP(A18,'Données projet'!$A$61:$I$81,9,0)</f>
        <v>4.0533333333333328</v>
      </c>
      <c r="AH18" s="13">
        <f t="array" ref="AH18">INDEX(AG:AG,MIN(IF(ISNUMBER(AG18:AG214),ROW(AG18:AG214),"")))</f>
        <v>4.0533333333333328</v>
      </c>
      <c r="AI18" s="14">
        <f>IF('Données projet'!$A$62&gt;35,AI17+AH18-AQ17,IF(A18&lt;'Données projet'!$A$62,$AF$205^A18,IF(A18='Données projet'!$A$62,'Données projet'!$B$62,AI17+AH18-AQ17)))</f>
        <v>60.8</v>
      </c>
      <c r="AJ18" s="14">
        <f>AI18*VLOOKUP('Données projet'!$B$10,Paramètres!$A$1:$I$89,3,0)*VLOOKUP('Données projet'!$B$10,Paramètres!$A$1:$I$89,5,0)</f>
        <v>31.616000000000003</v>
      </c>
      <c r="AK18" s="14">
        <f t="shared" si="35"/>
        <v>9.7469743223436929</v>
      </c>
      <c r="AL18" s="22">
        <f t="shared" si="4"/>
        <v>72.040513611415278</v>
      </c>
      <c r="AM18" s="62">
        <f t="shared" si="5"/>
        <v>262.58382431701267</v>
      </c>
      <c r="AN18" s="62">
        <f ca="1">AVERAGE(OFFSET($AM$3,0,0,'Données projet'!$E$10+1,1))-AVERAGE(OFFSET($H$3,0,0,'Données projet'!$E$10+1,1))</f>
        <v>289.05608923588198</v>
      </c>
      <c r="AO18" s="62">
        <f t="shared" si="36"/>
        <v>220.06639020312738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46.966357465162922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1.9558333333333331</v>
      </c>
      <c r="BD18" s="13">
        <f>IF('Données projet'!$A$88&gt;35,BD17+BC18-BL17,IF(A18&lt;'Données projet'!$A$88,$BA$205^A18,IF(A18='Données projet'!$A$88,'Données projet'!$B$88,BD17+BC18-BL17)))</f>
        <v>25.120833333333337</v>
      </c>
      <c r="BE18" s="14">
        <f>BD18*VLOOKUP('Données projet'!$B$11,Paramètres!$A$1:$I$89,3,0)*VLOOKUP('Données projet'!$B$11,Paramètres!$A$1:$I$89,5,0)</f>
        <v>28.939200000000003</v>
      </c>
      <c r="BF18" s="14">
        <f t="shared" si="37"/>
        <v>9.0140830494369073</v>
      </c>
      <c r="BG18" s="22">
        <f t="shared" si="7"/>
        <v>66.101967977769291</v>
      </c>
      <c r="BH18" s="62">
        <f t="shared" si="8"/>
        <v>256.64527868336666</v>
      </c>
      <c r="BI18" s="62">
        <f ca="1">AVERAGE(OFFSET($BH$3,0,0,'Données projet'!$E$11+1,1))-AVERAGE(OFFSET($H$3,0,0,'Données projet'!$E$11+1,1))</f>
        <v>299.54950406029354</v>
      </c>
      <c r="BJ18" s="62">
        <f t="shared" si="38"/>
        <v>208.26364698165739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46.966357465162922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1.8269230769230771</v>
      </c>
      <c r="BY18" s="13">
        <f>IF('Données projet'!$A$114&gt;35,BY17+BX18-CG17,IF(A18&lt;'Données projet'!$A$114,$BV$205^A18,IF(A18='Données projet'!$A$114,'Données projet'!$B$114,BY17+BX18-CG17)))</f>
        <v>14.86150161407812</v>
      </c>
      <c r="BZ18" s="14">
        <f>BY18*VLOOKUP('Données projet'!$B$12,Paramètres!$A$1:$I$89,3,0)*VLOOKUP('Données projet'!$B$12,Paramètres!$A$1:$I$89,5,0)</f>
        <v>15.996920337393687</v>
      </c>
      <c r="CA18" s="14">
        <f t="shared" si="39"/>
        <v>5.3387380468731642</v>
      </c>
      <c r="CB18" s="22">
        <f t="shared" si="10"/>
        <v>37.159605019264767</v>
      </c>
      <c r="CC18" s="62">
        <f t="shared" si="11"/>
        <v>227.70291572486215</v>
      </c>
      <c r="CD18" s="62">
        <f ca="1">AVERAGE(OFFSET($CC$3,0,0,'Données projet'!$E$12+1,1))-AVERAGE(OFFSET($H$3,0,0,'Données projet'!$E$12+1,1))</f>
        <v>441.30518831297212</v>
      </c>
      <c r="CE18" s="62">
        <f t="shared" si="40"/>
        <v>270.42872405271851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46.966357465162922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9</v>
      </c>
      <c r="CR18" s="13">
        <f>VLOOKUP(A18,'Données projet'!$A$139:$I$159,9,0)</f>
        <v>0.6</v>
      </c>
      <c r="CS18" s="13">
        <f t="array" ref="CS18">INDEX(CR:CR,MIN(IF(ISNUMBER(CR18:CR214),ROW(CR18:CR214),"")))</f>
        <v>0.6</v>
      </c>
      <c r="CT18" s="13">
        <f>IF('Données projet'!$A$140&gt;35,CT17+CS18-DB17,IF(A18&lt;'Données projet'!$A$140,$CQ$205^A18,IF(A18='Données projet'!$A$140,'Données projet'!$B$140,CT17+CS18-DB17)))</f>
        <v>9</v>
      </c>
      <c r="CU18" s="18">
        <f>CT18*VLOOKUP('Données projet'!$B$13,Paramètres!$A$1:$I$89,3,0)*VLOOKUP('Données projet'!$B$13,Paramètres!$A$1:$I$89,5,0)</f>
        <v>7.8624000000000018</v>
      </c>
      <c r="CV18" s="14">
        <f t="shared" si="41"/>
        <v>2.8501294257559766</v>
      </c>
      <c r="CW18" s="22">
        <f t="shared" si="13"/>
        <v>18.657655416524996</v>
      </c>
      <c r="CX18" s="62">
        <f t="shared" si="14"/>
        <v>209.20096612212237</v>
      </c>
      <c r="CY18" s="62">
        <f ca="1">AVERAGE(OFFSET($CX$3,0,0,'Données projet'!$E$13+1,1))-AVERAGE(OFFSET($H$3,0,0,'Données projet'!$E$13+1,1))</f>
        <v>310.81258463659196</v>
      </c>
      <c r="CZ18" s="62">
        <f t="shared" si="42"/>
        <v>287.31099756692083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46.966357465162922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1.8269230769230771</v>
      </c>
      <c r="DO18" s="13">
        <f>IF('Données projet'!$A$166&gt;35,DO17+DN18-DW17,IF(A18&lt;'Données projet'!$A$166,$DL$205^A18,IF(A18='Données projet'!$A$166,'Données projet'!$B$166,DO17+DN18-DW17)))</f>
        <v>14.86150161407812</v>
      </c>
      <c r="DP18" s="18">
        <f>DO18*VLOOKUP('Données projet'!$B$14,Paramètres!$A$1:$I$89,3,0)*VLOOKUP('Données projet'!$B$14,Paramètres!$A$1:$I$89,5,0)</f>
        <v>15.533241487034452</v>
      </c>
      <c r="DQ18" s="14">
        <f t="shared" si="43"/>
        <v>5.2017712639279212</v>
      </c>
      <c r="DR18" s="22">
        <f t="shared" si="16"/>
        <v>36.113480541259463</v>
      </c>
      <c r="DS18" s="62">
        <f t="shared" si="17"/>
        <v>226.65679124685684</v>
      </c>
      <c r="DT18" s="62">
        <f ca="1">AVERAGE(OFFSET($DS$3,0,0,'Données projet'!$E$14+1,1))-AVERAGE(OFFSET($H$3,0,0,'Données projet'!$E$14+1,1))</f>
        <v>431.19274104373625</v>
      </c>
      <c r="DU18" s="62">
        <f t="shared" si="44"/>
        <v>264.67919175178133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46.966357465162922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3.4425641025641025</v>
      </c>
      <c r="EJ18" s="13">
        <f>IF('Données projet'!$A$192&gt;35,EJ17+EI18-ER17,IF(A18&lt;'Données projet'!$A$192,$EG$205^A18,IF(A18='Données projet'!$A$192,'Données projet'!$B$192,EJ17+EI18-ER17)))</f>
        <v>10.162525428107084</v>
      </c>
      <c r="EK18" s="18">
        <f>EJ18*VLOOKUP('Données projet'!$B$15,Paramètres!$A$1:$I$89,3,0)*VLOOKUP('Données projet'!$B$15,Paramètres!$A$1:$I$89,5,0)</f>
        <v>4.7560619003541156</v>
      </c>
      <c r="EL18" s="14">
        <f t="shared" si="45"/>
        <v>1.8279653298016947</v>
      </c>
      <c r="EM18" s="22">
        <f t="shared" si="19"/>
        <v>11.467180759188034</v>
      </c>
      <c r="EN18" s="62">
        <f t="shared" si="20"/>
        <v>202.01049146478542</v>
      </c>
      <c r="EO18" s="62">
        <f ca="1">AVERAGE(OFFSET($EN$3,0,0,'Données projet'!$E$15+1,1))-AVERAGE(OFFSET($H$3,0,0,'Données projet'!$E$15+1,1))</f>
        <v>291.68530745507815</v>
      </c>
      <c r="EP18" s="62">
        <f t="shared" si="46"/>
        <v>175.95121106728979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46.966357465162922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>
        <f>VLOOKUP(A18,'Données projet'!$A$217:$I$237,2,0)</f>
        <v>29</v>
      </c>
      <c r="FC18" s="13">
        <f>VLOOKUP(A18,'Données projet'!$A$217:$I$237,9,0)</f>
        <v>1.9333333333333333</v>
      </c>
      <c r="FD18" s="13">
        <f t="array" ref="FD18">INDEX(FC:FC,MIN(IF(ISNUMBER(FC18:FC214),ROW(FC18:FC214),"")))</f>
        <v>1.9333333333333333</v>
      </c>
      <c r="FE18" s="13">
        <f>IF('Données projet'!$A$218&gt;35,FE17+FD18-FM17,IF(A18&lt;'Données projet'!$A$218,$FB$205^A18,IF(A18='Données projet'!$A$218,'Données projet'!$B$218,FE17+FD18-FM17)))</f>
        <v>29</v>
      </c>
      <c r="FF18" s="18">
        <f>FE18*VLOOKUP('Données projet'!$B$16,Paramètres!$A$1:$I$89,3,0)*VLOOKUP('Données projet'!$B$16,Paramètres!$A$1:$I$89,5,0)</f>
        <v>19.000800000000002</v>
      </c>
      <c r="FG18" s="14">
        <f t="shared" si="47"/>
        <v>6.2154833000252001</v>
      </c>
      <c r="FH18" s="22">
        <f t="shared" si="22"/>
        <v>43.918360080877228</v>
      </c>
      <c r="FI18" s="62">
        <f t="shared" si="23"/>
        <v>234.4616707864746</v>
      </c>
      <c r="FJ18" s="62">
        <f ca="1">AVERAGE(OFFSET($FI$3,0,0,'Données projet'!$E$16+1,1))-AVERAGE(OFFSET($H$3,0,0,'Données projet'!$E$16+1,1))</f>
        <v>248.75689726928428</v>
      </c>
      <c r="FK18" s="62">
        <f t="shared" si="48"/>
        <v>232.02291680388336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projet'!$B$16,Paramètres!$A$1:$I$89,3,0)*0.475*44/12</f>
        <v>0</v>
      </c>
      <c r="FR18" s="23">
        <f>EXP(-LN(2)/25)*FR17+(1-EXP(-LN(2)/25))/(LN(2)/25)*Calculateur!FM18*Calculateur!FO18*VLOOKUP('Données projet'!$B$16,Paramètres!$A$1:$I$89,3,0)*0.475*44/12</f>
        <v>0</v>
      </c>
      <c r="FS18" s="23">
        <f>EXP(-LN(2)/2)*FS17+(1-EXP(-LN(2)/2))/(LN(2)/2)*FM18*FP18*VLOOKUP('Données projet'!$B$16,Paramètres!$A$1:$I$89,3,0)*0.475*44/12</f>
        <v>0</v>
      </c>
      <c r="FT18" s="24">
        <f t="shared" si="24"/>
        <v>0</v>
      </c>
      <c r="FU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46.966357465162922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5</v>
      </c>
      <c r="FZ18" s="13">
        <f>IF('Données projet'!$A$244&gt;35,FZ17+FY18-GH17,IF(A18&lt;'Données projet'!$A$244,$FW$205^A18,IF(A18='Données projet'!$A$244,'Données projet'!$B$244,FZ17+FY18-GH17)))</f>
        <v>13.120457133350639</v>
      </c>
      <c r="GA18" s="18">
        <f>FZ18*VLOOKUP('Données projet'!$B$17,Paramètres!$A$1:$I$89,3,0)*VLOOKUP('Données projet'!$B$17,Paramètres!$A$1:$I$89,5,0)</f>
        <v>7.8460333657436827</v>
      </c>
      <c r="GB18" s="14">
        <f t="shared" si="49"/>
        <v>2.8448864580267812</v>
      </c>
      <c r="GC18" s="22">
        <f t="shared" si="25"/>
        <v>18.620018693066893</v>
      </c>
      <c r="GD18" s="62">
        <f t="shared" si="26"/>
        <v>209.16332939866427</v>
      </c>
      <c r="GE18" s="62">
        <f ca="1">AVERAGE(OFFSET($GD$3,0,0,'Données projet'!$E$17+1,1))-AVERAGE(OFFSET($H$3,0,0,'Données projet'!$E$17+1,1))</f>
        <v>315.909549580511</v>
      </c>
      <c r="GF18" s="62">
        <f t="shared" si="50"/>
        <v>208.56856525402051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>
        <f>EXP(-LN(2)/35)*GL17+(1-EXP(-LN(2)/35))/(LN(2)/35)*GH18*GI18*VLOOKUP('Données projet'!$B$17,Paramètres!$A$1:$I$89,3,0)*0.475*44/12</f>
        <v>0</v>
      </c>
      <c r="GM18" s="23">
        <f>EXP(-LN(2)/25)*GM17+(1-EXP(-LN(2)/25))/(LN(2)/25)*Calculateur!GH18*Calculateur!GJ18*VLOOKUP('Données projet'!$B$17,Paramètres!$A$1:$I$89,3,0)*0.475*44/12</f>
        <v>0</v>
      </c>
      <c r="GN18" s="23">
        <f>EXP(-LN(2)/2)*GN17+(1-EXP(-LN(2)/2))/(LN(2)/2)*GH18*GK18*VLOOKUP('Données projet'!$B$17,Paramètres!$A$1:$I$89,3,0)*0.475*44/12</f>
        <v>0</v>
      </c>
      <c r="GO18" s="23">
        <f t="shared" si="27"/>
        <v>0</v>
      </c>
      <c r="GP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46.966357465162922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1.6346153846153846</v>
      </c>
      <c r="GU18" s="13">
        <f>IF('Données projet'!$A$270&gt;35,GU17+GT18-HC17,IF(A18&lt;'Données projet'!$A$270,$GR$205^A18,IF(A18='Données projet'!$A$270,'Données projet'!$B$270,GU17+GT18-HC17)))</f>
        <v>13.672067167746068</v>
      </c>
      <c r="GV18" s="18">
        <f>GU18*VLOOKUP('Données projet'!$B$18,Paramètres!$A$1:$I$89,3,0)*VLOOKUP('Données projet'!$B$18,Paramètres!$A$1:$I$89,5,0)</f>
        <v>9.171222656124062</v>
      </c>
      <c r="GW18" s="14">
        <f t="shared" si="51"/>
        <v>3.2655231859494838</v>
      </c>
      <c r="GX18" s="22">
        <f t="shared" si="28"/>
        <v>21.660665674944756</v>
      </c>
      <c r="GY18" s="62">
        <f t="shared" si="29"/>
        <v>212.20397638054214</v>
      </c>
      <c r="GZ18" s="62">
        <f ca="1">AVERAGE(OFFSET($GY$3,0,0,'Données projet'!$E$18+1,1))-AVERAGE(OFFSET($H$3,0,0,'Données projet'!$E$18+1,1))</f>
        <v>254.35742752782755</v>
      </c>
      <c r="HA18" s="62">
        <f t="shared" si="52"/>
        <v>171.79611712137395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>
        <f>EXP(-LN(2)/35)*HG17+(1-EXP(-LN(2)/35))/(LN(2)/35)*HC18*HD18*VLOOKUP('Données projet'!$B$18,Paramètres!$A$1:$I$89,3,0)*0.475*44/12</f>
        <v>0</v>
      </c>
      <c r="HH18" s="23">
        <f>EXP(-LN(2)/25)*HH17+(1-EXP(-LN(2)/25))/(LN(2)/25)*Calculateur!HC18*Calculateur!HE18*VLOOKUP('Données projet'!$B$18,Paramètres!$A$1:$I$89,3,0)*0.475*44/12</f>
        <v>0</v>
      </c>
      <c r="HI18" s="23">
        <f>EXP(-LN(2)/2)*HI17+(1-EXP(-LN(2)/2))/(LN(2)/2)*HC18*HF18*VLOOKUP('Données projet'!$B$18,Paramètres!$A$1:$I$89,3,0)*0.475*44/12</f>
        <v>0</v>
      </c>
      <c r="HJ18" s="24">
        <f t="shared" si="30"/>
        <v>0</v>
      </c>
    </row>
    <row r="19" spans="1:218" s="5" customFormat="1" x14ac:dyDescent="0.3">
      <c r="A19" s="11">
        <f t="shared" si="31"/>
        <v>16</v>
      </c>
      <c r="B19" s="76">
        <f>'Scénario référence'!$B$16*5+'Scénario référence'!$B$17*0+'Scénario référence'!$B$18*5</f>
        <v>3.9405000000000001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14.448500000000001</v>
      </c>
      <c r="H19" s="69">
        <f t="shared" si="1"/>
        <v>161.30656666666667</v>
      </c>
      <c r="I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47.365939667632226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3.0276923076923068</v>
      </c>
      <c r="N19" s="14">
        <f>IF('Données projet'!$A$36&gt;35,N18+M19-V18,IF(A19&lt;'Données projet'!$A$36,$K$205^A19,IF(A19='Données projet'!$A$36,'Données projet'!$B$36,N18+M19-V18)))</f>
        <v>24.066153846153846</v>
      </c>
      <c r="O19" s="14">
        <f>N19*VLOOKUP('Données projet'!$B$9,Paramètres!$A$1:$I$89,3,0)*VLOOKUP('Données projet'!$B$9,Paramètres!$A$1:$I$89,5,0)</f>
        <v>14.0787</v>
      </c>
      <c r="P19" s="14">
        <f t="shared" si="33"/>
        <v>4.7689408763838834</v>
      </c>
      <c r="Q19" s="22">
        <f t="shared" si="2"/>
        <v>32.826307859701934</v>
      </c>
      <c r="R19" s="62">
        <f t="shared" si="0"/>
        <v>226.05697552990898</v>
      </c>
      <c r="S19" s="62">
        <f ca="1">AVERAGE(OFFSET($R$3,0,0,'Données projet'!$E$9+1,1))-AVERAGE(OFFSET($H$3,0,0,'Données projet'!$E$9+1,1))</f>
        <v>210.54472399593521</v>
      </c>
      <c r="T19" s="62">
        <f t="shared" si="34"/>
        <v>181.14158435194193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47.365939667632226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4.9800000000000013</v>
      </c>
      <c r="AI19" s="14">
        <f>IF('Données projet'!$A$62&gt;35,AI18+AH19-AQ18,IF(A19&lt;'Données projet'!$A$62,$AF$205^A19,IF(A19='Données projet'!$A$62,'Données projet'!$B$62,AI18+AH19-AQ18)))</f>
        <v>65.78</v>
      </c>
      <c r="AJ19" s="14">
        <f>AI19*VLOOKUP('Données projet'!$B$10,Paramètres!$A$1:$I$89,3,0)*VLOOKUP('Données projet'!$B$10,Paramètres!$A$1:$I$89,5,0)</f>
        <v>34.205600000000004</v>
      </c>
      <c r="AK19" s="14">
        <f t="shared" si="35"/>
        <v>10.449135526956775</v>
      </c>
      <c r="AL19" s="22">
        <f t="shared" si="4"/>
        <v>77.773664376116372</v>
      </c>
      <c r="AM19" s="62">
        <f t="shared" si="5"/>
        <v>271.00433204632344</v>
      </c>
      <c r="AN19" s="62">
        <f ca="1">AVERAGE(OFFSET($AM$3,0,0,'Données projet'!$E$10+1,1))-AVERAGE(OFFSET($H$3,0,0,'Données projet'!$E$10+1,1))</f>
        <v>289.05608923588198</v>
      </c>
      <c r="AO19" s="62">
        <f t="shared" si="36"/>
        <v>220.06639020312738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47.365939667632226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1.9558333333333331</v>
      </c>
      <c r="BD19" s="13">
        <f>IF('Données projet'!$A$88&gt;35,BD18+BC19-BL18,IF(A19&lt;'Données projet'!$A$88,$BA$205^A19,IF(A19='Données projet'!$A$88,'Données projet'!$B$88,BD18+BC19-BL18)))</f>
        <v>27.076666666666672</v>
      </c>
      <c r="BE19" s="14">
        <f>BD19*VLOOKUP('Données projet'!$B$11,Paramètres!$A$1:$I$89,3,0)*VLOOKUP('Données projet'!$B$11,Paramètres!$A$1:$I$89,5,0)</f>
        <v>31.192320000000002</v>
      </c>
      <c r="BF19" s="14">
        <f t="shared" si="37"/>
        <v>9.6314703672580624</v>
      </c>
      <c r="BG19" s="22">
        <f t="shared" si="7"/>
        <v>71.101434889641112</v>
      </c>
      <c r="BH19" s="62">
        <f t="shared" si="8"/>
        <v>264.33210255984818</v>
      </c>
      <c r="BI19" s="62">
        <f ca="1">AVERAGE(OFFSET($BH$3,0,0,'Données projet'!$E$11+1,1))-AVERAGE(OFFSET($H$3,0,0,'Données projet'!$E$11+1,1))</f>
        <v>299.54950406029354</v>
      </c>
      <c r="BJ19" s="62">
        <f t="shared" si="38"/>
        <v>208.26364698165739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47.365939667632226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1.8269230769230771</v>
      </c>
      <c r="BY19" s="13">
        <f>IF('Données projet'!$A$114&gt;35,BY18+BX19-CG18,IF(A19&lt;'Données projet'!$A$114,$BV$205^A19,IF(A19='Données projet'!$A$114,'Données projet'!$B$114,BY18+BX19-CG18)))</f>
        <v>17.790993698532937</v>
      </c>
      <c r="BZ19" s="14">
        <f>BY19*VLOOKUP('Données projet'!$B$12,Paramètres!$A$1:$I$89,3,0)*VLOOKUP('Données projet'!$B$12,Paramètres!$A$1:$I$89,5,0)</f>
        <v>19.150225617100851</v>
      </c>
      <c r="CA19" s="14">
        <f t="shared" si="39"/>
        <v>6.2586536472932774</v>
      </c>
      <c r="CB19" s="22">
        <f t="shared" si="10"/>
        <v>44.253798052153108</v>
      </c>
      <c r="CC19" s="62">
        <f t="shared" si="11"/>
        <v>237.48446572236017</v>
      </c>
      <c r="CD19" s="62">
        <f ca="1">AVERAGE(OFFSET($CC$3,0,0,'Données projet'!$E$12+1,1))-AVERAGE(OFFSET($H$3,0,0,'Données projet'!$E$12+1,1))</f>
        <v>441.30518831297212</v>
      </c>
      <c r="CE19" s="62">
        <f t="shared" si="40"/>
        <v>270.42872405271851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47.365939667632226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9.6</v>
      </c>
      <c r="CT19" s="13">
        <f>IF('Données projet'!$A$140&gt;35,CT18+CS19-DB18,IF(A19&lt;'Données projet'!$A$140,$CQ$205^A19,IF(A19='Données projet'!$A$140,'Données projet'!$B$140,CT18+CS19-DB18)))</f>
        <v>18.600000000000001</v>
      </c>
      <c r="CU19" s="18">
        <f>CT19*VLOOKUP('Données projet'!$B$13,Paramètres!$A$1:$I$89,3,0)*VLOOKUP('Données projet'!$B$13,Paramètres!$A$1:$I$89,5,0)</f>
        <v>16.248960000000004</v>
      </c>
      <c r="CV19" s="14">
        <f t="shared" si="41"/>
        <v>5.4129939058841199</v>
      </c>
      <c r="CW19" s="22">
        <f t="shared" si="13"/>
        <v>37.727903052748182</v>
      </c>
      <c r="CX19" s="62">
        <f t="shared" si="14"/>
        <v>230.95857072295524</v>
      </c>
      <c r="CY19" s="62">
        <f ca="1">AVERAGE(OFFSET($CX$3,0,0,'Données projet'!$E$13+1,1))-AVERAGE(OFFSET($H$3,0,0,'Données projet'!$E$13+1,1))</f>
        <v>310.81258463659196</v>
      </c>
      <c r="CZ19" s="62">
        <f t="shared" si="42"/>
        <v>287.31099756692083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47.365939667632226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1.8269230769230771</v>
      </c>
      <c r="DO19" s="13">
        <f>IF('Données projet'!$A$166&gt;35,DO18+DN19-DW18,IF(A19&lt;'Données projet'!$A$166,$DL$205^A19,IF(A19='Données projet'!$A$166,'Données projet'!$B$166,DO18+DN19-DW18)))</f>
        <v>17.790993698532937</v>
      </c>
      <c r="DP19" s="18">
        <f>DO19*VLOOKUP('Données projet'!$B$14,Paramètres!$A$1:$I$89,3,0)*VLOOKUP('Données projet'!$B$14,Paramètres!$A$1:$I$89,5,0)</f>
        <v>18.595146613706628</v>
      </c>
      <c r="DQ19" s="14">
        <f t="shared" si="43"/>
        <v>6.0980861783311457</v>
      </c>
      <c r="DR19" s="22">
        <f t="shared" si="16"/>
        <v>43.007380446132458</v>
      </c>
      <c r="DS19" s="62">
        <f t="shared" si="17"/>
        <v>236.23804811633951</v>
      </c>
      <c r="DT19" s="62">
        <f ca="1">AVERAGE(OFFSET($DS$3,0,0,'Données projet'!$E$14+1,1))-AVERAGE(OFFSET($H$3,0,0,'Données projet'!$E$14+1,1))</f>
        <v>431.19274104373625</v>
      </c>
      <c r="DU19" s="62">
        <f t="shared" si="44"/>
        <v>264.67919175178133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47.365939667632226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3.4425641025641025</v>
      </c>
      <c r="EJ19" s="13">
        <f>IF('Données projet'!$A$192&gt;35,EJ18+EI19-ER18,IF(A19&lt;'Données projet'!$A$192,$EG$205^A19,IF(A19='Données projet'!$A$192,'Données projet'!$B$192,EJ18+EI19-ER18)))</f>
        <v>11.861376416102864</v>
      </c>
      <c r="EK19" s="18">
        <f>EJ19*VLOOKUP('Données projet'!$B$15,Paramètres!$A$1:$I$89,3,0)*VLOOKUP('Données projet'!$B$15,Paramètres!$A$1:$I$89,5,0)</f>
        <v>5.5511241627361398</v>
      </c>
      <c r="EL19" s="14">
        <f t="shared" si="45"/>
        <v>2.0954971024924585</v>
      </c>
      <c r="EM19" s="22">
        <f t="shared" si="19"/>
        <v>13.31786537027314</v>
      </c>
      <c r="EN19" s="62">
        <f t="shared" si="20"/>
        <v>206.54853304048021</v>
      </c>
      <c r="EO19" s="62">
        <f ca="1">AVERAGE(OFFSET($EN$3,0,0,'Données projet'!$E$15+1,1))-AVERAGE(OFFSET($H$3,0,0,'Données projet'!$E$15+1,1))</f>
        <v>291.68530745507815</v>
      </c>
      <c r="EP19" s="62">
        <f t="shared" si="46"/>
        <v>175.95121106728979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47.365939667632226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8.4</v>
      </c>
      <c r="FE19" s="13">
        <f>IF('Données projet'!$A$218&gt;35,FE18+FD19-FM18,IF(A19&lt;'Données projet'!$A$218,$FB$205^A19,IF(A19='Données projet'!$A$218,'Données projet'!$B$218,FE18+FD19-FM18)))</f>
        <v>37.4</v>
      </c>
      <c r="FF19" s="18">
        <f>FE19*VLOOKUP('Données projet'!$B$16,Paramètres!$A$1:$I$89,3,0)*VLOOKUP('Données projet'!$B$16,Paramètres!$A$1:$I$89,5,0)</f>
        <v>24.504479999999997</v>
      </c>
      <c r="FG19" s="14">
        <f t="shared" si="47"/>
        <v>7.7819669258411093</v>
      </c>
      <c r="FH19" s="22">
        <f t="shared" si="22"/>
        <v>56.232228395839918</v>
      </c>
      <c r="FI19" s="62">
        <f t="shared" si="23"/>
        <v>249.46289606604697</v>
      </c>
      <c r="FJ19" s="62">
        <f ca="1">AVERAGE(OFFSET($FI$3,0,0,'Données projet'!$E$16+1,1))-AVERAGE(OFFSET($H$3,0,0,'Données projet'!$E$16+1,1))</f>
        <v>248.75689726928428</v>
      </c>
      <c r="FK19" s="62">
        <f t="shared" si="48"/>
        <v>232.02291680388336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projet'!$B$16,Paramètres!$A$1:$I$89,3,0)*0.475*44/12</f>
        <v>0</v>
      </c>
      <c r="FR19" s="23">
        <f>EXP(-LN(2)/25)*FR18+(1-EXP(-LN(2)/25))/(LN(2)/25)*Calculateur!FM19*Calculateur!FO19*VLOOKUP('Données projet'!$B$16,Paramètres!$A$1:$I$89,3,0)*0.475*44/12</f>
        <v>0</v>
      </c>
      <c r="FS19" s="23">
        <f>EXP(-LN(2)/2)*FS18+(1-EXP(-LN(2)/2))/(LN(2)/2)*FM19*FP19*VLOOKUP('Données projet'!$B$16,Paramètres!$A$1:$I$89,3,0)*0.475*44/12</f>
        <v>0</v>
      </c>
      <c r="FT19" s="24">
        <f t="shared" si="24"/>
        <v>0</v>
      </c>
      <c r="FU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47.365939667632226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5</v>
      </c>
      <c r="FZ19" s="13">
        <f>IF('Données projet'!$A$244&gt;35,FZ18+FY19-GH18,IF(A19&lt;'Données projet'!$A$244,$FW$205^A19,IF(A19='Données projet'!$A$244,'Données projet'!$B$244,FZ18+FY19-GH18)))</f>
        <v>15.576823457588203</v>
      </c>
      <c r="GA19" s="18">
        <f>FZ19*VLOOKUP('Données projet'!$B$17,Paramètres!$A$1:$I$89,3,0)*VLOOKUP('Données projet'!$B$17,Paramètres!$A$1:$I$89,5,0)</f>
        <v>9.3149404276377457</v>
      </c>
      <c r="GB19" s="14">
        <f t="shared" si="49"/>
        <v>3.3106981422685484</v>
      </c>
      <c r="GC19" s="22">
        <f t="shared" si="25"/>
        <v>21.98965384258679</v>
      </c>
      <c r="GD19" s="62">
        <f t="shared" si="26"/>
        <v>215.22032151279384</v>
      </c>
      <c r="GE19" s="62">
        <f ca="1">AVERAGE(OFFSET($GD$3,0,0,'Données projet'!$E$17+1,1))-AVERAGE(OFFSET($H$3,0,0,'Données projet'!$E$17+1,1))</f>
        <v>315.909549580511</v>
      </c>
      <c r="GF19" s="62">
        <f t="shared" si="50"/>
        <v>208.56856525402051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projet'!$B$17,Paramètres!$A$1:$I$89,3,0)*0.475*44/12</f>
        <v>0</v>
      </c>
      <c r="GM19" s="23">
        <f>EXP(-LN(2)/25)*GM18+(1-EXP(-LN(2)/25))/(LN(2)/25)*Calculateur!GH19*Calculateur!GJ19*VLOOKUP('Données projet'!$B$17,Paramètres!$A$1:$I$89,3,0)*0.475*44/12</f>
        <v>0</v>
      </c>
      <c r="GN19" s="23">
        <f>EXP(-LN(2)/2)*GN18+(1-EXP(-LN(2)/2))/(LN(2)/2)*GH19*GK19*VLOOKUP('Données projet'!$B$17,Paramètres!$A$1:$I$89,3,0)*0.475*44/12</f>
        <v>0</v>
      </c>
      <c r="GO19" s="23">
        <f t="shared" si="27"/>
        <v>0</v>
      </c>
      <c r="GP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47.365939667632226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1.6346153846153846</v>
      </c>
      <c r="GU19" s="13">
        <f>IF('Données projet'!$A$270&gt;35,GU18+GT19-HC18,IF(A19&lt;'Données projet'!$A$270,$GR$205^A19,IF(A19='Données projet'!$A$270,'Données projet'!$B$270,GU18+GT19-HC18)))</f>
        <v>16.276329088273204</v>
      </c>
      <c r="GV19" s="18">
        <f>GU19*VLOOKUP('Données projet'!$B$18,Paramètres!$A$1:$I$89,3,0)*VLOOKUP('Données projet'!$B$18,Paramètres!$A$1:$I$89,5,0)</f>
        <v>10.918161552413665</v>
      </c>
      <c r="GW19" s="14">
        <f t="shared" si="51"/>
        <v>3.8094385934513699</v>
      </c>
      <c r="GX19" s="22">
        <f t="shared" si="28"/>
        <v>25.650570254048265</v>
      </c>
      <c r="GY19" s="62">
        <f t="shared" si="29"/>
        <v>218.88123792425532</v>
      </c>
      <c r="GZ19" s="62">
        <f ca="1">AVERAGE(OFFSET($GY$3,0,0,'Données projet'!$E$18+1,1))-AVERAGE(OFFSET($H$3,0,0,'Données projet'!$E$18+1,1))</f>
        <v>254.35742752782755</v>
      </c>
      <c r="HA19" s="62">
        <f t="shared" si="52"/>
        <v>171.79611712137395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>
        <f>EXP(-LN(2)/35)*HG18+(1-EXP(-LN(2)/35))/(LN(2)/35)*HC19*HD19*VLOOKUP('Données projet'!$B$18,Paramètres!$A$1:$I$89,3,0)*0.475*44/12</f>
        <v>0</v>
      </c>
      <c r="HH19" s="23">
        <f>EXP(-LN(2)/25)*HH18+(1-EXP(-LN(2)/25))/(LN(2)/25)*Calculateur!HC19*Calculateur!HE19*VLOOKUP('Données projet'!$B$18,Paramètres!$A$1:$I$89,3,0)*0.475*44/12</f>
        <v>0</v>
      </c>
      <c r="HI19" s="23">
        <f>EXP(-LN(2)/2)*HI18+(1-EXP(-LN(2)/2))/(LN(2)/2)*HC19*HF19*VLOOKUP('Données projet'!$B$18,Paramètres!$A$1:$I$89,3,0)*0.475*44/12</f>
        <v>0</v>
      </c>
      <c r="HJ19" s="24">
        <f t="shared" si="30"/>
        <v>0</v>
      </c>
    </row>
    <row r="20" spans="1:218" s="5" customFormat="1" x14ac:dyDescent="0.3">
      <c r="A20" s="11">
        <f t="shared" si="31"/>
        <v>17</v>
      </c>
      <c r="B20" s="76">
        <f>'Scénario référence'!$B$16*5+'Scénario référence'!$B$17*0+'Scénario référence'!$B$18*5</f>
        <v>3.9405000000000001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14.448500000000001</v>
      </c>
      <c r="H20" s="69">
        <f t="shared" si="1"/>
        <v>161.30656666666667</v>
      </c>
      <c r="I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47.758590012220658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3.0276923076923068</v>
      </c>
      <c r="N20" s="14">
        <f>IF('Données projet'!$A$36&gt;35,N19+M20-V19,IF(A20&lt;'Données projet'!$A$36,$K$205^A20,IF(A20='Données projet'!$A$36,'Données projet'!$B$36,N19+M20-V19)))</f>
        <v>27.093846153846151</v>
      </c>
      <c r="O20" s="14">
        <f>N20*VLOOKUP('Données projet'!$B$9,Paramètres!$A$1:$I$89,3,0)*VLOOKUP('Données projet'!$B$9,Paramètres!$A$1:$I$89,5,0)</f>
        <v>15.8499</v>
      </c>
      <c r="P20" s="14">
        <f t="shared" si="33"/>
        <v>5.2953601604169283</v>
      </c>
      <c r="Q20" s="22">
        <f t="shared" si="2"/>
        <v>36.827994779392817</v>
      </c>
      <c r="R20" s="62">
        <f t="shared" si="0"/>
        <v>232.72060260197964</v>
      </c>
      <c r="S20" s="62">
        <f ca="1">AVERAGE(OFFSET($R$3,0,0,'Données projet'!$E$9+1,1))-AVERAGE(OFFSET($H$3,0,0,'Données projet'!$E$9+1,1))</f>
        <v>210.54472399593521</v>
      </c>
      <c r="T20" s="62">
        <f t="shared" si="34"/>
        <v>181.14158435194193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47.758590012220658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4.9800000000000013</v>
      </c>
      <c r="AI20" s="14">
        <f>IF('Données projet'!$A$62&gt;35,AI19+AH20-AQ19,IF(A20&lt;'Données projet'!$A$62,$AF$205^A20,IF(A20='Données projet'!$A$62,'Données projet'!$B$62,AI19+AH20-AQ19)))</f>
        <v>70.760000000000005</v>
      </c>
      <c r="AJ20" s="14">
        <f>AI20*VLOOKUP('Données projet'!$B$10,Paramètres!$A$1:$I$89,3,0)*VLOOKUP('Données projet'!$B$10,Paramètres!$A$1:$I$89,5,0)</f>
        <v>36.795200000000001</v>
      </c>
      <c r="AK20" s="14">
        <f t="shared" si="35"/>
        <v>11.145130056976178</v>
      </c>
      <c r="AL20" s="22">
        <f t="shared" si="4"/>
        <v>83.496074849233494</v>
      </c>
      <c r="AM20" s="62">
        <f t="shared" si="5"/>
        <v>279.38868267182033</v>
      </c>
      <c r="AN20" s="62">
        <f ca="1">AVERAGE(OFFSET($AM$3,0,0,'Données projet'!$E$10+1,1))-AVERAGE(OFFSET($H$3,0,0,'Données projet'!$E$10+1,1))</f>
        <v>289.05608923588198</v>
      </c>
      <c r="AO20" s="62">
        <f t="shared" si="36"/>
        <v>220.06639020312738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47.758590012220658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1.9558333333333331</v>
      </c>
      <c r="BD20" s="13">
        <f>IF('Données projet'!$A$88&gt;35,BD19+BC20-BL19,IF(A20&lt;'Données projet'!$A$88,$BA$205^A20,IF(A20='Données projet'!$A$88,'Données projet'!$B$88,BD19+BC20-BL19)))</f>
        <v>29.032500000000006</v>
      </c>
      <c r="BE20" s="14">
        <f>BD20*VLOOKUP('Données projet'!$B$11,Paramètres!$A$1:$I$89,3,0)*VLOOKUP('Données projet'!$B$11,Paramètres!$A$1:$I$89,5,0)</f>
        <v>33.445440000000005</v>
      </c>
      <c r="BF20" s="14">
        <f t="shared" si="37"/>
        <v>10.243683743720984</v>
      </c>
      <c r="BG20" s="22">
        <f t="shared" si="7"/>
        <v>76.091890520314053</v>
      </c>
      <c r="BH20" s="62">
        <f t="shared" si="8"/>
        <v>271.98449834290091</v>
      </c>
      <c r="BI20" s="62">
        <f ca="1">AVERAGE(OFFSET($BH$3,0,0,'Données projet'!$E$11+1,1))-AVERAGE(OFFSET($H$3,0,0,'Données projet'!$E$11+1,1))</f>
        <v>299.54950406029354</v>
      </c>
      <c r="BJ20" s="62">
        <f t="shared" si="38"/>
        <v>208.26364698165739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47.758590012220658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1.8269230769230771</v>
      </c>
      <c r="BY20" s="13">
        <f>IF('Données projet'!$A$114&gt;35,BY19+BX20-CG19,IF(A20&lt;'Données projet'!$A$114,$BV$205^A20,IF(A20='Données projet'!$A$114,'Données projet'!$B$114,BY19+BX20-CG19)))</f>
        <v>21.297945860423926</v>
      </c>
      <c r="BZ20" s="14">
        <f>BY20*VLOOKUP('Données projet'!$B$12,Paramètres!$A$1:$I$89,3,0)*VLOOKUP('Données projet'!$B$12,Paramètres!$A$1:$I$89,5,0)</f>
        <v>22.925108924160313</v>
      </c>
      <c r="CA20" s="14">
        <f t="shared" si="39"/>
        <v>7.3370794994744646</v>
      </c>
      <c r="CB20" s="22">
        <f t="shared" si="10"/>
        <v>52.706644837830567</v>
      </c>
      <c r="CC20" s="62">
        <f t="shared" si="11"/>
        <v>248.59925266041739</v>
      </c>
      <c r="CD20" s="62">
        <f ca="1">AVERAGE(OFFSET($CC$3,0,0,'Données projet'!$E$12+1,1))-AVERAGE(OFFSET($H$3,0,0,'Données projet'!$E$12+1,1))</f>
        <v>441.30518831297212</v>
      </c>
      <c r="CE20" s="62">
        <f t="shared" si="40"/>
        <v>270.42872405271851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47.758590012220658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9.6</v>
      </c>
      <c r="CT20" s="13">
        <f>IF('Données projet'!$A$140&gt;35,CT19+CS20-DB19,IF(A20&lt;'Données projet'!$A$140,$CQ$205^A20,IF(A20='Données projet'!$A$140,'Données projet'!$B$140,CT19+CS20-DB19)))</f>
        <v>28.200000000000003</v>
      </c>
      <c r="CU20" s="18">
        <f>CT20*VLOOKUP('Données projet'!$B$13,Paramètres!$A$1:$I$89,3,0)*VLOOKUP('Données projet'!$B$13,Paramètres!$A$1:$I$89,5,0)</f>
        <v>24.635520000000007</v>
      </c>
      <c r="CV20" s="14">
        <f t="shared" si="41"/>
        <v>7.8187263384607988</v>
      </c>
      <c r="CW20" s="22">
        <f t="shared" si="13"/>
        <v>56.524479039485897</v>
      </c>
      <c r="CX20" s="62">
        <f t="shared" si="14"/>
        <v>252.41708686207272</v>
      </c>
      <c r="CY20" s="62">
        <f ca="1">AVERAGE(OFFSET($CX$3,0,0,'Données projet'!$E$13+1,1))-AVERAGE(OFFSET($H$3,0,0,'Données projet'!$E$13+1,1))</f>
        <v>310.81258463659196</v>
      </c>
      <c r="CZ20" s="62">
        <f t="shared" si="42"/>
        <v>287.31099756692083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47.758590012220658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1.8269230769230771</v>
      </c>
      <c r="DO20" s="13">
        <f>IF('Données projet'!$A$166&gt;35,DO19+DN20-DW19,IF(A20&lt;'Données projet'!$A$166,$DL$205^A20,IF(A20='Données projet'!$A$166,'Données projet'!$B$166,DO19+DN20-DW19)))</f>
        <v>21.297945860423926</v>
      </c>
      <c r="DP20" s="18">
        <f>DO20*VLOOKUP('Données projet'!$B$14,Paramètres!$A$1:$I$89,3,0)*VLOOKUP('Données projet'!$B$14,Paramètres!$A$1:$I$89,5,0)</f>
        <v>22.260613013315091</v>
      </c>
      <c r="DQ20" s="14">
        <f t="shared" si="43"/>
        <v>7.1488447206871681</v>
      </c>
      <c r="DR20" s="22">
        <f t="shared" si="16"/>
        <v>51.221472220053933</v>
      </c>
      <c r="DS20" s="62">
        <f t="shared" si="17"/>
        <v>247.11408004264075</v>
      </c>
      <c r="DT20" s="62">
        <f ca="1">AVERAGE(OFFSET($DS$3,0,0,'Données projet'!$E$14+1,1))-AVERAGE(OFFSET($H$3,0,0,'Données projet'!$E$14+1,1))</f>
        <v>431.19274104373625</v>
      </c>
      <c r="DU20" s="62">
        <f t="shared" si="44"/>
        <v>264.67919175178133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47.758590012220658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3.4425641025641025</v>
      </c>
      <c r="EJ20" s="13">
        <f>IF('Données projet'!$A$192&gt;35,EJ19+EI20-ER19,IF(A20&lt;'Données projet'!$A$192,$EG$205^A20,IF(A20='Données projet'!$A$192,'Données projet'!$B$192,EJ19+EI20-ER19)))</f>
        <v>13.84422124990315</v>
      </c>
      <c r="EK20" s="18">
        <f>EJ20*VLOOKUP('Données projet'!$B$15,Paramètres!$A$1:$I$89,3,0)*VLOOKUP('Données projet'!$B$15,Paramètres!$A$1:$I$89,5,0)</f>
        <v>6.4790955449546734</v>
      </c>
      <c r="EL20" s="14">
        <f t="shared" si="45"/>
        <v>2.4021834741420709</v>
      </c>
      <c r="EM20" s="22">
        <f t="shared" si="19"/>
        <v>15.468227624926827</v>
      </c>
      <c r="EN20" s="62">
        <f t="shared" si="20"/>
        <v>211.36083544751367</v>
      </c>
      <c r="EO20" s="62">
        <f ca="1">AVERAGE(OFFSET($EN$3,0,0,'Données projet'!$E$15+1,1))-AVERAGE(OFFSET($H$3,0,0,'Données projet'!$E$15+1,1))</f>
        <v>291.68530745507815</v>
      </c>
      <c r="EP20" s="62">
        <f t="shared" si="46"/>
        <v>175.95121106728979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47.758590012220658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8.4</v>
      </c>
      <c r="FE20" s="13">
        <f>IF('Données projet'!$A$218&gt;35,FE19+FD20-FM19,IF(A20&lt;'Données projet'!$A$218,$FB$205^A20,IF(A20='Données projet'!$A$218,'Données projet'!$B$218,FE19+FD20-FM19)))</f>
        <v>45.8</v>
      </c>
      <c r="FF20" s="18">
        <f>FE20*VLOOKUP('Données projet'!$B$16,Paramètres!$A$1:$I$89,3,0)*VLOOKUP('Données projet'!$B$16,Paramètres!$A$1:$I$89,5,0)</f>
        <v>30.008159999999997</v>
      </c>
      <c r="FG20" s="14">
        <f t="shared" si="47"/>
        <v>9.3076655464518403</v>
      </c>
      <c r="FH20" s="22">
        <f t="shared" si="22"/>
        <v>68.475062826736931</v>
      </c>
      <c r="FI20" s="62">
        <f t="shared" si="23"/>
        <v>264.36767064932377</v>
      </c>
      <c r="FJ20" s="62">
        <f ca="1">AVERAGE(OFFSET($FI$3,0,0,'Données projet'!$E$16+1,1))-AVERAGE(OFFSET($H$3,0,0,'Données projet'!$E$16+1,1))</f>
        <v>248.75689726928428</v>
      </c>
      <c r="FK20" s="62">
        <f t="shared" si="48"/>
        <v>232.02291680388336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projet'!$B$16,Paramètres!$A$1:$I$89,3,0)*0.475*44/12</f>
        <v>0</v>
      </c>
      <c r="FR20" s="23">
        <f>EXP(-LN(2)/25)*FR19+(1-EXP(-LN(2)/25))/(LN(2)/25)*Calculateur!FM20*Calculateur!FO20*VLOOKUP('Données projet'!$B$16,Paramètres!$A$1:$I$89,3,0)*0.475*44/12</f>
        <v>0</v>
      </c>
      <c r="FS20" s="23">
        <f>EXP(-LN(2)/2)*FS19+(1-EXP(-LN(2)/2))/(LN(2)/2)*FM20*FP20*VLOOKUP('Données projet'!$B$16,Paramètres!$A$1:$I$89,3,0)*0.475*44/12</f>
        <v>0</v>
      </c>
      <c r="FT20" s="24">
        <f t="shared" si="24"/>
        <v>0</v>
      </c>
      <c r="FU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47.758590012220658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5</v>
      </c>
      <c r="FZ20" s="13">
        <f>IF('Données projet'!$A$244&gt;35,FZ19+FY20-GH19,IF(A20&lt;'Données projet'!$A$244,$FW$205^A20,IF(A20='Données projet'!$A$244,'Données projet'!$B$244,FZ19+FY20-GH19)))</f>
        <v>18.493062136692988</v>
      </c>
      <c r="GA20" s="18">
        <f>FZ20*VLOOKUP('Données projet'!$B$17,Paramètres!$A$1:$I$89,3,0)*VLOOKUP('Données projet'!$B$17,Paramètres!$A$1:$I$89,5,0)</f>
        <v>11.058851157742406</v>
      </c>
      <c r="GB20" s="14">
        <f t="shared" si="49"/>
        <v>3.8527801903288599</v>
      </c>
      <c r="GC20" s="22">
        <f t="shared" si="25"/>
        <v>25.971091264557455</v>
      </c>
      <c r="GD20" s="62">
        <f t="shared" si="26"/>
        <v>221.86369908714428</v>
      </c>
      <c r="GE20" s="62">
        <f ca="1">AVERAGE(OFFSET($GD$3,0,0,'Données projet'!$E$17+1,1))-AVERAGE(OFFSET($H$3,0,0,'Données projet'!$E$17+1,1))</f>
        <v>315.909549580511</v>
      </c>
      <c r="GF20" s="62">
        <f t="shared" si="50"/>
        <v>208.56856525402051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projet'!$B$17,Paramètres!$A$1:$I$89,3,0)*0.475*44/12</f>
        <v>0</v>
      </c>
      <c r="GM20" s="23">
        <f>EXP(-LN(2)/25)*GM19+(1-EXP(-LN(2)/25))/(LN(2)/25)*Calculateur!GH20*Calculateur!GJ20*VLOOKUP('Données projet'!$B$17,Paramètres!$A$1:$I$89,3,0)*0.475*44/12</f>
        <v>0</v>
      </c>
      <c r="GN20" s="23">
        <f>EXP(-LN(2)/2)*GN19+(1-EXP(-LN(2)/2))/(LN(2)/2)*GH20*GK20*VLOOKUP('Données projet'!$B$17,Paramètres!$A$1:$I$89,3,0)*0.475*44/12</f>
        <v>0</v>
      </c>
      <c r="GO20" s="23">
        <f t="shared" si="27"/>
        <v>0</v>
      </c>
      <c r="GP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47.758590012220658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1.6346153846153846</v>
      </c>
      <c r="GU20" s="13">
        <f>IF('Données projet'!$A$270&gt;35,GU19+GT20-HC19,IF(A20&lt;'Données projet'!$A$270,$GR$205^A20,IF(A20='Données projet'!$A$270,'Données projet'!$B$270,GU19+GT20-HC19)))</f>
        <v>19.376652070196204</v>
      </c>
      <c r="GV20" s="18">
        <f>GU20*VLOOKUP('Données projet'!$B$18,Paramètres!$A$1:$I$89,3,0)*VLOOKUP('Données projet'!$B$18,Paramètres!$A$1:$I$89,5,0)</f>
        <v>12.997858208687614</v>
      </c>
      <c r="GW20" s="14">
        <f t="shared" si="51"/>
        <v>4.4439501944792648</v>
      </c>
      <c r="GX20" s="22">
        <f t="shared" si="28"/>
        <v>30.37781630218231</v>
      </c>
      <c r="GY20" s="62">
        <f t="shared" si="29"/>
        <v>226.27042412476914</v>
      </c>
      <c r="GZ20" s="62">
        <f ca="1">AVERAGE(OFFSET($GY$3,0,0,'Données projet'!$E$18+1,1))-AVERAGE(OFFSET($H$3,0,0,'Données projet'!$E$18+1,1))</f>
        <v>254.35742752782755</v>
      </c>
      <c r="HA20" s="62">
        <f t="shared" si="52"/>
        <v>171.79611712137395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>
        <f>EXP(-LN(2)/35)*HG19+(1-EXP(-LN(2)/35))/(LN(2)/35)*HC20*HD20*VLOOKUP('Données projet'!$B$18,Paramètres!$A$1:$I$89,3,0)*0.475*44/12</f>
        <v>0</v>
      </c>
      <c r="HH20" s="23">
        <f>EXP(-LN(2)/25)*HH19+(1-EXP(-LN(2)/25))/(LN(2)/25)*Calculateur!HC20*Calculateur!HE20*VLOOKUP('Données projet'!$B$18,Paramètres!$A$1:$I$89,3,0)*0.475*44/12</f>
        <v>0</v>
      </c>
      <c r="HI20" s="23">
        <f>EXP(-LN(2)/2)*HI19+(1-EXP(-LN(2)/2))/(LN(2)/2)*HC20*HF20*VLOOKUP('Données projet'!$B$18,Paramètres!$A$1:$I$89,3,0)*0.475*44/12</f>
        <v>0</v>
      </c>
      <c r="HJ20" s="24">
        <f t="shared" si="30"/>
        <v>0</v>
      </c>
    </row>
    <row r="21" spans="1:218" s="5" customFormat="1" x14ac:dyDescent="0.3">
      <c r="A21" s="11">
        <f t="shared" si="31"/>
        <v>18</v>
      </c>
      <c r="B21" s="76">
        <f>'Scénario référence'!$B$16*5+'Scénario référence'!$B$17*0+'Scénario référence'!$B$18*5</f>
        <v>3.9405000000000001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14.448500000000001</v>
      </c>
      <c r="H21" s="69">
        <f t="shared" si="1"/>
        <v>161.30656666666667</v>
      </c>
      <c r="I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48.144428751165137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3.0276923076923068</v>
      </c>
      <c r="N21" s="14">
        <f>IF('Données projet'!$A$36&gt;35,N20+M21-V20,IF(A21&lt;'Données projet'!$A$36,$K$205^A21,IF(A21='Données projet'!$A$36,'Données projet'!$B$36,N20+M21-V20)))</f>
        <v>30.121538461538456</v>
      </c>
      <c r="O21" s="14">
        <f>N21*VLOOKUP('Données projet'!$B$9,Paramètres!$A$1:$I$89,3,0)*VLOOKUP('Données projet'!$B$9,Paramètres!$A$1:$I$89,5,0)</f>
        <v>17.621099999999998</v>
      </c>
      <c r="P21" s="14">
        <f t="shared" si="33"/>
        <v>5.8149614193709027</v>
      </c>
      <c r="Q21" s="22">
        <f t="shared" si="2"/>
        <v>40.817806972070983</v>
      </c>
      <c r="R21" s="62">
        <f t="shared" si="0"/>
        <v>239.34737905967648</v>
      </c>
      <c r="S21" s="62">
        <f ca="1">AVERAGE(OFFSET($R$3,0,0,'Données projet'!$E$9+1,1))-AVERAGE(OFFSET($H$3,0,0,'Données projet'!$E$9+1,1))</f>
        <v>210.54472399593521</v>
      </c>
      <c r="T21" s="62">
        <f t="shared" si="34"/>
        <v>181.14158435194193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48.144428751165137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4.9800000000000013</v>
      </c>
      <c r="AI21" s="14">
        <f>IF('Données projet'!$A$62&gt;35,AI20+AH21-AQ20,IF(A21&lt;'Données projet'!$A$62,$AF$205^A21,IF(A21='Données projet'!$A$62,'Données projet'!$B$62,AI20+AH21-AQ20)))</f>
        <v>75.740000000000009</v>
      </c>
      <c r="AJ21" s="14">
        <f>AI21*VLOOKUP('Données projet'!$B$10,Paramètres!$A$1:$I$89,3,0)*VLOOKUP('Données projet'!$B$10,Paramètres!$A$1:$I$89,5,0)</f>
        <v>39.384800000000013</v>
      </c>
      <c r="AK21" s="14">
        <f t="shared" si="35"/>
        <v>11.835441280121824</v>
      </c>
      <c r="AL21" s="22">
        <f t="shared" si="4"/>
        <v>89.208586896212196</v>
      </c>
      <c r="AM21" s="62">
        <f t="shared" si="5"/>
        <v>287.7381589838177</v>
      </c>
      <c r="AN21" s="62">
        <f ca="1">AVERAGE(OFFSET($AM$3,0,0,'Données projet'!$E$10+1,1))-AVERAGE(OFFSET($H$3,0,0,'Données projet'!$E$10+1,1))</f>
        <v>289.05608923588198</v>
      </c>
      <c r="AO21" s="62">
        <f t="shared" si="36"/>
        <v>220.06639020312738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48.144428751165137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1.9558333333333331</v>
      </c>
      <c r="BD21" s="13">
        <f>IF('Données projet'!$A$88&gt;35,BD20+BC21-BL20,IF(A21&lt;'Données projet'!$A$88,$BA$205^A21,IF(A21='Données projet'!$A$88,'Données projet'!$B$88,BD20+BC21-BL20)))</f>
        <v>30.98833333333334</v>
      </c>
      <c r="BE21" s="14">
        <f>BD21*VLOOKUP('Données projet'!$B$11,Paramètres!$A$1:$I$89,3,0)*VLOOKUP('Données projet'!$B$11,Paramètres!$A$1:$I$89,5,0)</f>
        <v>35.698560000000008</v>
      </c>
      <c r="BF21" s="14">
        <f t="shared" si="37"/>
        <v>10.851111388752232</v>
      </c>
      <c r="BG21" s="22">
        <f t="shared" si="7"/>
        <v>81.074011002076816</v>
      </c>
      <c r="BH21" s="62">
        <f t="shared" si="8"/>
        <v>279.60358308968233</v>
      </c>
      <c r="BI21" s="62">
        <f ca="1">AVERAGE(OFFSET($BH$3,0,0,'Données projet'!$E$11+1,1))-AVERAGE(OFFSET($H$3,0,0,'Données projet'!$E$11+1,1))</f>
        <v>299.54950406029354</v>
      </c>
      <c r="BJ21" s="62">
        <f t="shared" si="38"/>
        <v>208.26364698165739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48.144428751165137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1.8269230769230771</v>
      </c>
      <c r="BY21" s="13">
        <f>IF('Données projet'!$A$114&gt;35,BY20+BX21-CG20,IF(A21&lt;'Données projet'!$A$114,$BV$205^A21,IF(A21='Données projet'!$A$114,'Données projet'!$B$114,BY20+BX21-CG20)))</f>
        <v>25.49618675380416</v>
      </c>
      <c r="BZ21" s="14">
        <f>BY21*VLOOKUP('Données projet'!$B$12,Paramètres!$A$1:$I$89,3,0)*VLOOKUP('Données projet'!$B$12,Paramètres!$A$1:$I$89,5,0)</f>
        <v>27.444095421794795</v>
      </c>
      <c r="CA21" s="14">
        <f t="shared" si="39"/>
        <v>8.6013284350524604</v>
      </c>
      <c r="CB21" s="22">
        <f t="shared" si="10"/>
        <v>62.779113217342307</v>
      </c>
      <c r="CC21" s="62">
        <f t="shared" si="11"/>
        <v>261.3086853049478</v>
      </c>
      <c r="CD21" s="62">
        <f ca="1">AVERAGE(OFFSET($CC$3,0,0,'Données projet'!$E$12+1,1))-AVERAGE(OFFSET($H$3,0,0,'Données projet'!$E$12+1,1))</f>
        <v>441.30518831297212</v>
      </c>
      <c r="CE21" s="62">
        <f t="shared" si="40"/>
        <v>270.42872405271851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48.144428751165137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9.6</v>
      </c>
      <c r="CT21" s="13">
        <f>IF('Données projet'!$A$140&gt;35,CT20+CS21-DB20,IF(A21&lt;'Données projet'!$A$140,$CQ$205^A21,IF(A21='Données projet'!$A$140,'Données projet'!$B$140,CT20+CS21-DB20)))</f>
        <v>37.800000000000004</v>
      </c>
      <c r="CU21" s="18">
        <f>CT21*VLOOKUP('Données projet'!$B$13,Paramètres!$A$1:$I$89,3,0)*VLOOKUP('Données projet'!$B$13,Paramètres!$A$1:$I$89,5,0)</f>
        <v>33.022080000000003</v>
      </c>
      <c r="CV21" s="14">
        <f t="shared" si="41"/>
        <v>10.129025278332465</v>
      </c>
      <c r="CW21" s="22">
        <f t="shared" si="13"/>
        <v>75.154841693095705</v>
      </c>
      <c r="CX21" s="62">
        <f t="shared" si="14"/>
        <v>273.68441378070122</v>
      </c>
      <c r="CY21" s="62">
        <f ca="1">AVERAGE(OFFSET($CX$3,0,0,'Données projet'!$E$13+1,1))-AVERAGE(OFFSET($H$3,0,0,'Données projet'!$E$13+1,1))</f>
        <v>310.81258463659196</v>
      </c>
      <c r="CZ21" s="62">
        <f t="shared" si="42"/>
        <v>287.31099756692083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48.144428751165137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1.8269230769230771</v>
      </c>
      <c r="DO21" s="13">
        <f>IF('Données projet'!$A$166&gt;35,DO20+DN21-DW20,IF(A21&lt;'Données projet'!$A$166,$DL$205^A21,IF(A21='Données projet'!$A$166,'Données projet'!$B$166,DO20+DN21-DW20)))</f>
        <v>25.49618675380416</v>
      </c>
      <c r="DP21" s="18">
        <f>DO21*VLOOKUP('Données projet'!$B$14,Paramètres!$A$1:$I$89,3,0)*VLOOKUP('Données projet'!$B$14,Paramètres!$A$1:$I$89,5,0)</f>
        <v>26.648614395076113</v>
      </c>
      <c r="DQ21" s="14">
        <f t="shared" si="43"/>
        <v>8.3806590044752181</v>
      </c>
      <c r="DR21" s="22">
        <f t="shared" si="16"/>
        <v>61.009317837551897</v>
      </c>
      <c r="DS21" s="62">
        <f t="shared" si="17"/>
        <v>259.53888992515743</v>
      </c>
      <c r="DT21" s="62">
        <f ca="1">AVERAGE(OFFSET($DS$3,0,0,'Données projet'!$E$14+1,1))-AVERAGE(OFFSET($H$3,0,0,'Données projet'!$E$14+1,1))</f>
        <v>431.19274104373625</v>
      </c>
      <c r="DU21" s="62">
        <f t="shared" si="44"/>
        <v>264.67919175178133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48.144428751165137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3.4425641025641025</v>
      </c>
      <c r="EJ21" s="13">
        <f>IF('Données projet'!$A$192&gt;35,EJ20+EI21-ER20,IF(A21&lt;'Données projet'!$A$192,$EG$205^A21,IF(A21='Données projet'!$A$192,'Données projet'!$B$192,EJ20+EI21-ER20)))</f>
        <v>16.158534666859676</v>
      </c>
      <c r="EK21" s="18">
        <f>EJ21*VLOOKUP('Données projet'!$B$15,Paramètres!$A$1:$I$89,3,0)*VLOOKUP('Données projet'!$B$15,Paramètres!$A$1:$I$89,5,0)</f>
        <v>7.5621942240903284</v>
      </c>
      <c r="EL21" s="14">
        <f t="shared" si="45"/>
        <v>2.7537549140858508</v>
      </c>
      <c r="EM21" s="22">
        <f t="shared" si="19"/>
        <v>17.96694474899018</v>
      </c>
      <c r="EN21" s="62">
        <f t="shared" si="20"/>
        <v>216.4965168365957</v>
      </c>
      <c r="EO21" s="62">
        <f ca="1">AVERAGE(OFFSET($EN$3,0,0,'Données projet'!$E$15+1,1))-AVERAGE(OFFSET($H$3,0,0,'Données projet'!$E$15+1,1))</f>
        <v>291.68530745507815</v>
      </c>
      <c r="EP21" s="62">
        <f t="shared" si="46"/>
        <v>175.95121106728979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48.144428751165137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8.4</v>
      </c>
      <c r="FE21" s="13">
        <f>IF('Données projet'!$A$218&gt;35,FE20+FD21-FM20,IF(A21&lt;'Données projet'!$A$218,$FB$205^A21,IF(A21='Données projet'!$A$218,'Données projet'!$B$218,FE20+FD21-FM20)))</f>
        <v>54.199999999999996</v>
      </c>
      <c r="FF21" s="18">
        <f>FE21*VLOOKUP('Données projet'!$B$16,Paramètres!$A$1:$I$89,3,0)*VLOOKUP('Données projet'!$B$16,Paramètres!$A$1:$I$89,5,0)</f>
        <v>35.511839999999992</v>
      </c>
      <c r="FG21" s="14">
        <f t="shared" si="47"/>
        <v>10.800946192888619</v>
      </c>
      <c r="FH21" s="22">
        <f t="shared" si="22"/>
        <v>80.661435952614326</v>
      </c>
      <c r="FI21" s="62">
        <f t="shared" si="23"/>
        <v>279.19100804021986</v>
      </c>
      <c r="FJ21" s="62">
        <f ca="1">AVERAGE(OFFSET($FI$3,0,0,'Données projet'!$E$16+1,1))-AVERAGE(OFFSET($H$3,0,0,'Données projet'!$E$16+1,1))</f>
        <v>248.75689726928428</v>
      </c>
      <c r="FK21" s="62">
        <f t="shared" si="48"/>
        <v>232.02291680388336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projet'!$B$16,Paramètres!$A$1:$I$89,3,0)*0.475*44/12</f>
        <v>0</v>
      </c>
      <c r="FR21" s="23">
        <f>EXP(-LN(2)/25)*FR20+(1-EXP(-LN(2)/25))/(LN(2)/25)*Calculateur!FM21*Calculateur!FO21*VLOOKUP('Données projet'!$B$16,Paramètres!$A$1:$I$89,3,0)*0.475*44/12</f>
        <v>0</v>
      </c>
      <c r="FS21" s="23">
        <f>EXP(-LN(2)/2)*FS20+(1-EXP(-LN(2)/2))/(LN(2)/2)*FM21*FP21*VLOOKUP('Données projet'!$B$16,Paramètres!$A$1:$I$89,3,0)*0.475*44/12</f>
        <v>0</v>
      </c>
      <c r="FT21" s="24">
        <f t="shared" si="24"/>
        <v>0</v>
      </c>
      <c r="FU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48.144428751165137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5</v>
      </c>
      <c r="FZ21" s="13">
        <f>IF('Données projet'!$A$244&gt;35,FZ20+FY21-GH20,IF(A21&lt;'Données projet'!$A$244,$FW$205^A21,IF(A21='Données projet'!$A$244,'Données projet'!$B$244,FZ20+FY21-GH20)))</f>
        <v>21.95526887254967</v>
      </c>
      <c r="GA21" s="18">
        <f>FZ21*VLOOKUP('Données projet'!$B$17,Paramètres!$A$1:$I$89,3,0)*VLOOKUP('Données projet'!$B$17,Paramètres!$A$1:$I$89,5,0)</f>
        <v>13.129250785784706</v>
      </c>
      <c r="GB21" s="14">
        <f t="shared" si="49"/>
        <v>4.4836208428289908</v>
      </c>
      <c r="GC21" s="22">
        <f t="shared" si="25"/>
        <v>30.675751419835521</v>
      </c>
      <c r="GD21" s="62">
        <f t="shared" si="26"/>
        <v>229.20532350744105</v>
      </c>
      <c r="GE21" s="62">
        <f ca="1">AVERAGE(OFFSET($GD$3,0,0,'Données projet'!$E$17+1,1))-AVERAGE(OFFSET($H$3,0,0,'Données projet'!$E$17+1,1))</f>
        <v>315.909549580511</v>
      </c>
      <c r="GF21" s="62">
        <f t="shared" si="50"/>
        <v>208.56856525402051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>
        <f>EXP(-LN(2)/35)*GL20+(1-EXP(-LN(2)/35))/(LN(2)/35)*GH21*GI21*VLOOKUP('Données projet'!$B$17,Paramètres!$A$1:$I$89,3,0)*0.475*44/12</f>
        <v>0</v>
      </c>
      <c r="GM21" s="23">
        <f>EXP(-LN(2)/25)*GM20+(1-EXP(-LN(2)/25))/(LN(2)/25)*Calculateur!GH21*Calculateur!GJ21*VLOOKUP('Données projet'!$B$17,Paramètres!$A$1:$I$89,3,0)*0.475*44/12</f>
        <v>0</v>
      </c>
      <c r="GN21" s="23">
        <f>EXP(-LN(2)/2)*GN20+(1-EXP(-LN(2)/2))/(LN(2)/2)*GH21*GK21*VLOOKUP('Données projet'!$B$17,Paramètres!$A$1:$I$89,3,0)*0.475*44/12</f>
        <v>0</v>
      </c>
      <c r="GO21" s="23">
        <f t="shared" si="27"/>
        <v>0</v>
      </c>
      <c r="GP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48.144428751165137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1.6346153846153846</v>
      </c>
      <c r="GU21" s="13">
        <f>IF('Données projet'!$A$270&gt;35,GU20+GT21-HC20,IF(A21&lt;'Données projet'!$A$270,$GR$205^A21,IF(A21='Données projet'!$A$270,'Données projet'!$B$270,GU20+GT21-HC20)))</f>
        <v>23.067526062737759</v>
      </c>
      <c r="GV21" s="18">
        <f>GU21*VLOOKUP('Données projet'!$B$18,Paramètres!$A$1:$I$89,3,0)*VLOOKUP('Données projet'!$B$18,Paramètres!$A$1:$I$89,5,0)</f>
        <v>15.473696482884488</v>
      </c>
      <c r="GW21" s="14">
        <f t="shared" si="51"/>
        <v>5.1841479647319577</v>
      </c>
      <c r="GX21" s="22">
        <f t="shared" si="28"/>
        <v>35.979079079598641</v>
      </c>
      <c r="GY21" s="62">
        <f t="shared" si="29"/>
        <v>234.50865116720416</v>
      </c>
      <c r="GZ21" s="62">
        <f ca="1">AVERAGE(OFFSET($GY$3,0,0,'Données projet'!$E$18+1,1))-AVERAGE(OFFSET($H$3,0,0,'Données projet'!$E$18+1,1))</f>
        <v>254.35742752782755</v>
      </c>
      <c r="HA21" s="62">
        <f t="shared" si="52"/>
        <v>171.79611712137395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>
        <f>EXP(-LN(2)/35)*HG20+(1-EXP(-LN(2)/35))/(LN(2)/35)*HC21*HD21*VLOOKUP('Données projet'!$B$18,Paramètres!$A$1:$I$89,3,0)*0.475*44/12</f>
        <v>0</v>
      </c>
      <c r="HH21" s="23">
        <f>EXP(-LN(2)/25)*HH20+(1-EXP(-LN(2)/25))/(LN(2)/25)*Calculateur!HC21*Calculateur!HE21*VLOOKUP('Données projet'!$B$18,Paramètres!$A$1:$I$89,3,0)*0.475*44/12</f>
        <v>0</v>
      </c>
      <c r="HI21" s="23">
        <f>EXP(-LN(2)/2)*HI20+(1-EXP(-LN(2)/2))/(LN(2)/2)*HC21*HF21*VLOOKUP('Données projet'!$B$18,Paramètres!$A$1:$I$89,3,0)*0.475*44/12</f>
        <v>0</v>
      </c>
      <c r="HJ21" s="24">
        <f t="shared" si="30"/>
        <v>0</v>
      </c>
    </row>
    <row r="22" spans="1:218" s="5" customFormat="1" x14ac:dyDescent="0.3">
      <c r="A22" s="11">
        <f t="shared" si="31"/>
        <v>19</v>
      </c>
      <c r="B22" s="76">
        <f>'Scénario référence'!$B$16*5+'Scénario référence'!$B$17*0+'Scénario référence'!$B$18*5</f>
        <v>3.9405000000000001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14.448500000000001</v>
      </c>
      <c r="H22" s="69">
        <f t="shared" si="1"/>
        <v>161.30656666666667</v>
      </c>
      <c r="I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48.52357405059513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3.0276923076923068</v>
      </c>
      <c r="N22" s="14">
        <f>IF('Données projet'!$A$36&gt;35,N21+M22-V21,IF(A22&lt;'Données projet'!$A$36,$K$205^A22,IF(A22='Données projet'!$A$36,'Données projet'!$B$36,N21+M22-V21)))</f>
        <v>33.149230769230762</v>
      </c>
      <c r="O22" s="14">
        <f>N22*VLOOKUP('Données projet'!$B$9,Paramètres!$A$1:$I$89,3,0)*VLOOKUP('Données projet'!$B$9,Paramètres!$A$1:$I$89,5,0)</f>
        <v>19.392299999999995</v>
      </c>
      <c r="P22" s="14">
        <f t="shared" si="33"/>
        <v>6.3285079934981043</v>
      </c>
      <c r="Q22" s="22">
        <f t="shared" si="2"/>
        <v>44.79707392200919</v>
      </c>
      <c r="R22" s="62">
        <f t="shared" si="0"/>
        <v>245.93906766308024</v>
      </c>
      <c r="S22" s="62">
        <f ca="1">AVERAGE(OFFSET($R$3,0,0,'Données projet'!$E$9+1,1))-AVERAGE(OFFSET($H$3,0,0,'Données projet'!$E$9+1,1))</f>
        <v>210.54472399593521</v>
      </c>
      <c r="T22" s="62">
        <f t="shared" si="34"/>
        <v>181.14158435194193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48.52357405059513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4.9800000000000013</v>
      </c>
      <c r="AI22" s="14">
        <f>IF('Données projet'!$A$62&gt;35,AI21+AH22-AQ21,IF(A22&lt;'Données projet'!$A$62,$AF$205^A22,IF(A22='Données projet'!$A$62,'Données projet'!$B$62,AI21+AH22-AQ21)))</f>
        <v>80.720000000000013</v>
      </c>
      <c r="AJ22" s="14">
        <f>AI22*VLOOKUP('Données projet'!$B$10,Paramètres!$A$1:$I$89,3,0)*VLOOKUP('Données projet'!$B$10,Paramètres!$A$1:$I$89,5,0)</f>
        <v>41.97440000000001</v>
      </c>
      <c r="AK22" s="14">
        <f t="shared" si="35"/>
        <v>12.520485404816361</v>
      </c>
      <c r="AL22" s="22">
        <f t="shared" si="4"/>
        <v>94.911925413388516</v>
      </c>
      <c r="AM22" s="62">
        <f t="shared" si="5"/>
        <v>296.05391915445955</v>
      </c>
      <c r="AN22" s="62">
        <f ca="1">AVERAGE(OFFSET($AM$3,0,0,'Données projet'!$E$10+1,1))-AVERAGE(OFFSET($H$3,0,0,'Données projet'!$E$10+1,1))</f>
        <v>289.05608923588198</v>
      </c>
      <c r="AO22" s="62">
        <f t="shared" si="36"/>
        <v>220.06639020312738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48.52357405059513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1.9558333333333331</v>
      </c>
      <c r="BD22" s="13">
        <f>IF('Données projet'!$A$88&gt;35,BD21+BC22-BL21,IF(A22&lt;'Données projet'!$A$88,$BA$205^A22,IF(A22='Données projet'!$A$88,'Données projet'!$B$88,BD21+BC22-BL21)))</f>
        <v>32.944166666666675</v>
      </c>
      <c r="BE22" s="14">
        <f>BD22*VLOOKUP('Données projet'!$B$11,Paramètres!$A$1:$I$89,3,0)*VLOOKUP('Données projet'!$B$11,Paramètres!$A$1:$I$89,5,0)</f>
        <v>37.95168000000001</v>
      </c>
      <c r="BF22" s="14">
        <f t="shared" si="37"/>
        <v>11.454089738390872</v>
      </c>
      <c r="BG22" s="22">
        <f t="shared" si="7"/>
        <v>86.048382294364117</v>
      </c>
      <c r="BH22" s="62">
        <f t="shared" si="8"/>
        <v>287.19037603543518</v>
      </c>
      <c r="BI22" s="62">
        <f ca="1">AVERAGE(OFFSET($BH$3,0,0,'Données projet'!$E$11+1,1))-AVERAGE(OFFSET($H$3,0,0,'Données projet'!$E$11+1,1))</f>
        <v>299.54950406029354</v>
      </c>
      <c r="BJ22" s="62">
        <f t="shared" si="38"/>
        <v>208.26364698165739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48.52357405059513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1.8269230769230771</v>
      </c>
      <c r="BY22" s="13">
        <f>IF('Données projet'!$A$114&gt;35,BY21+BX22-CG21,IF(A22&lt;'Données projet'!$A$114,$BV$205^A22,IF(A22='Données projet'!$A$114,'Données projet'!$B$114,BY21+BX22-CG21)))</f>
        <v>30.521982882527599</v>
      </c>
      <c r="BZ22" s="14">
        <f>BY22*VLOOKUP('Données projet'!$B$12,Paramètres!$A$1:$I$89,3,0)*VLOOKUP('Données projet'!$B$12,Paramètres!$A$1:$I$89,5,0)</f>
        <v>32.853862374752701</v>
      </c>
      <c r="CA22" s="14">
        <f t="shared" si="39"/>
        <v>10.083419547647154</v>
      </c>
      <c r="CB22" s="22">
        <f t="shared" si="10"/>
        <v>74.782432681513072</v>
      </c>
      <c r="CC22" s="62">
        <f t="shared" si="11"/>
        <v>275.92442642258413</v>
      </c>
      <c r="CD22" s="62">
        <f ca="1">AVERAGE(OFFSET($CC$3,0,0,'Données projet'!$E$12+1,1))-AVERAGE(OFFSET($H$3,0,0,'Données projet'!$E$12+1,1))</f>
        <v>441.30518831297212</v>
      </c>
      <c r="CE22" s="62">
        <f t="shared" si="40"/>
        <v>270.42872405271851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48.52357405059513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9.6</v>
      </c>
      <c r="CT22" s="13">
        <f>IF('Données projet'!$A$140&gt;35,CT21+CS22-DB21,IF(A22&lt;'Données projet'!$A$140,$CQ$205^A22,IF(A22='Données projet'!$A$140,'Données projet'!$B$140,CT21+CS22-DB21)))</f>
        <v>47.400000000000006</v>
      </c>
      <c r="CU22" s="18">
        <f>CT22*VLOOKUP('Données projet'!$B$13,Paramètres!$A$1:$I$89,3,0)*VLOOKUP('Données projet'!$B$13,Paramètres!$A$1:$I$89,5,0)</f>
        <v>41.408640000000005</v>
      </c>
      <c r="CV22" s="14">
        <f t="shared" si="41"/>
        <v>12.371251711099637</v>
      </c>
      <c r="CW22" s="22">
        <f t="shared" si="13"/>
        <v>93.666644730165203</v>
      </c>
      <c r="CX22" s="62">
        <f t="shared" si="14"/>
        <v>294.80863847123624</v>
      </c>
      <c r="CY22" s="62">
        <f ca="1">AVERAGE(OFFSET($CX$3,0,0,'Données projet'!$E$13+1,1))-AVERAGE(OFFSET($H$3,0,0,'Données projet'!$E$13+1,1))</f>
        <v>310.81258463659196</v>
      </c>
      <c r="CZ22" s="62">
        <f t="shared" si="42"/>
        <v>287.31099756692083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48.52357405059513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1.8269230769230771</v>
      </c>
      <c r="DO22" s="13">
        <f>IF('Données projet'!$A$166&gt;35,DO21+DN22-DW21,IF(A22&lt;'Données projet'!$A$166,$DL$205^A22,IF(A22='Données projet'!$A$166,'Données projet'!$B$166,DO21+DN22-DW21)))</f>
        <v>30.521982882527599</v>
      </c>
      <c r="DP22" s="18">
        <f>DO22*VLOOKUP('Données projet'!$B$14,Paramètres!$A$1:$I$89,3,0)*VLOOKUP('Données projet'!$B$14,Paramètres!$A$1:$I$89,5,0)</f>
        <v>31.901576508817847</v>
      </c>
      <c r="DQ22" s="14">
        <f t="shared" si="43"/>
        <v>9.82472666472189</v>
      </c>
      <c r="DR22" s="22">
        <f t="shared" si="16"/>
        <v>72.673311360581707</v>
      </c>
      <c r="DS22" s="62">
        <f t="shared" si="17"/>
        <v>273.81530510165277</v>
      </c>
      <c r="DT22" s="62">
        <f ca="1">AVERAGE(OFFSET($DS$3,0,0,'Données projet'!$E$14+1,1))-AVERAGE(OFFSET($H$3,0,0,'Données projet'!$E$14+1,1))</f>
        <v>431.19274104373625</v>
      </c>
      <c r="DU22" s="62">
        <f t="shared" si="44"/>
        <v>264.67919175178133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48.52357405059513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3.4425641025641025</v>
      </c>
      <c r="EJ22" s="13">
        <f>IF('Données projet'!$A$192&gt;35,EJ21+EI22-ER21,IF(A22&lt;'Données projet'!$A$192,$EG$205^A22,IF(A22='Données projet'!$A$192,'Données projet'!$B$192,EJ21+EI22-ER21)))</f>
        <v>18.859727670267663</v>
      </c>
      <c r="EK22" s="18">
        <f>EJ22*VLOOKUP('Données projet'!$B$15,Paramètres!$A$1:$I$89,3,0)*VLOOKUP('Données projet'!$B$15,Paramètres!$A$1:$I$89,5,0)</f>
        <v>8.8263525496852662</v>
      </c>
      <c r="EL22" s="14">
        <f t="shared" si="45"/>
        <v>3.1567805742066648</v>
      </c>
      <c r="EM22" s="22">
        <f t="shared" si="19"/>
        <v>20.870623524111782</v>
      </c>
      <c r="EN22" s="62">
        <f t="shared" si="20"/>
        <v>222.01261726518283</v>
      </c>
      <c r="EO22" s="62">
        <f ca="1">AVERAGE(OFFSET($EN$3,0,0,'Données projet'!$E$15+1,1))-AVERAGE(OFFSET($H$3,0,0,'Données projet'!$E$15+1,1))</f>
        <v>291.68530745507815</v>
      </c>
      <c r="EP22" s="62">
        <f t="shared" si="46"/>
        <v>175.95121106728979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48.52357405059513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8.4</v>
      </c>
      <c r="FE22" s="13">
        <f>IF('Données projet'!$A$218&gt;35,FE21+FD22-FM21,IF(A22&lt;'Données projet'!$A$218,$FB$205^A22,IF(A22='Données projet'!$A$218,'Données projet'!$B$218,FE21+FD22-FM21)))</f>
        <v>62.599999999999994</v>
      </c>
      <c r="FF22" s="18">
        <f>FE22*VLOOKUP('Données projet'!$B$16,Paramètres!$A$1:$I$89,3,0)*VLOOKUP('Données projet'!$B$16,Paramètres!$A$1:$I$89,5,0)</f>
        <v>41.015519999999995</v>
      </c>
      <c r="FG22" s="14">
        <f t="shared" si="47"/>
        <v>12.267416591039986</v>
      </c>
      <c r="FH22" s="22">
        <f t="shared" si="22"/>
        <v>92.80111456272796</v>
      </c>
      <c r="FI22" s="62">
        <f t="shared" si="23"/>
        <v>293.94310830379902</v>
      </c>
      <c r="FJ22" s="62">
        <f ca="1">AVERAGE(OFFSET($FI$3,0,0,'Données projet'!$E$16+1,1))-AVERAGE(OFFSET($H$3,0,0,'Données projet'!$E$16+1,1))</f>
        <v>248.75689726928428</v>
      </c>
      <c r="FK22" s="62">
        <f t="shared" si="48"/>
        <v>232.02291680388336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projet'!$B$16,Paramètres!$A$1:$I$89,3,0)*0.475*44/12</f>
        <v>0</v>
      </c>
      <c r="FR22" s="23">
        <f>EXP(-LN(2)/25)*FR21+(1-EXP(-LN(2)/25))/(LN(2)/25)*Calculateur!FM22*Calculateur!FO22*VLOOKUP('Données projet'!$B$16,Paramètres!$A$1:$I$89,3,0)*0.475*44/12</f>
        <v>0</v>
      </c>
      <c r="FS22" s="23">
        <f>EXP(-LN(2)/2)*FS21+(1-EXP(-LN(2)/2))/(LN(2)/2)*FM22*FP22*VLOOKUP('Données projet'!$B$16,Paramètres!$A$1:$I$89,3,0)*0.475*44/12</f>
        <v>0</v>
      </c>
      <c r="FT22" s="24">
        <f t="shared" si="24"/>
        <v>0</v>
      </c>
      <c r="FU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48.52357405059513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5</v>
      </c>
      <c r="FZ22" s="13">
        <f>IF('Données projet'!$A$244&gt;35,FZ21+FY22-GH21,IF(A22&lt;'Données projet'!$A$244,$FW$205^A22,IF(A22='Données projet'!$A$244,'Données projet'!$B$244,FZ21+FY22-GH21)))</f>
        <v>26.065657904729665</v>
      </c>
      <c r="GA22" s="18">
        <f>FZ22*VLOOKUP('Données projet'!$B$17,Paramètres!$A$1:$I$89,3,0)*VLOOKUP('Données projet'!$B$17,Paramètres!$A$1:$I$89,5,0)</f>
        <v>15.587263427028342</v>
      </c>
      <c r="GB22" s="14">
        <f t="shared" si="49"/>
        <v>5.2177531209053063</v>
      </c>
      <c r="GC22" s="22">
        <f t="shared" si="25"/>
        <v>36.235403820984438</v>
      </c>
      <c r="GD22" s="62">
        <f t="shared" si="26"/>
        <v>237.37739756205548</v>
      </c>
      <c r="GE22" s="62">
        <f ca="1">AVERAGE(OFFSET($GD$3,0,0,'Données projet'!$E$17+1,1))-AVERAGE(OFFSET($H$3,0,0,'Données projet'!$E$17+1,1))</f>
        <v>315.909549580511</v>
      </c>
      <c r="GF22" s="62">
        <f t="shared" si="50"/>
        <v>208.56856525402051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>
        <f>EXP(-LN(2)/35)*GL21+(1-EXP(-LN(2)/35))/(LN(2)/35)*GH22*GI22*VLOOKUP('Données projet'!$B$17,Paramètres!$A$1:$I$89,3,0)*0.475*44/12</f>
        <v>0</v>
      </c>
      <c r="GM22" s="23">
        <f>EXP(-LN(2)/25)*GM21+(1-EXP(-LN(2)/25))/(LN(2)/25)*Calculateur!GH22*Calculateur!GJ22*VLOOKUP('Données projet'!$B$17,Paramètres!$A$1:$I$89,3,0)*0.475*44/12</f>
        <v>0</v>
      </c>
      <c r="GN22" s="23">
        <f>EXP(-LN(2)/2)*GN21+(1-EXP(-LN(2)/2))/(LN(2)/2)*GH22*GK22*VLOOKUP('Données projet'!$B$17,Paramètres!$A$1:$I$89,3,0)*0.475*44/12</f>
        <v>0</v>
      </c>
      <c r="GO22" s="23">
        <f t="shared" si="27"/>
        <v>0</v>
      </c>
      <c r="GP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48.52357405059513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1.6346153846153846</v>
      </c>
      <c r="GU22" s="13">
        <f>IF('Données projet'!$A$270&gt;35,GU21+GT22-HC21,IF(A22&lt;'Données projet'!$A$270,$GR$205^A22,IF(A22='Données projet'!$A$270,'Données projet'!$B$270,GU21+GT22-HC21)))</f>
        <v>27.461439506030089</v>
      </c>
      <c r="GV22" s="18">
        <f>GU22*VLOOKUP('Données projet'!$B$18,Paramètres!$A$1:$I$89,3,0)*VLOOKUP('Données projet'!$B$18,Paramètres!$A$1:$I$89,5,0)</f>
        <v>18.421133620644984</v>
      </c>
      <c r="GW22" s="14">
        <f t="shared" si="51"/>
        <v>6.0476353118497785</v>
      </c>
      <c r="GX22" s="22">
        <f t="shared" si="28"/>
        <v>42.616439224095039</v>
      </c>
      <c r="GY22" s="62">
        <f t="shared" si="29"/>
        <v>243.75843296516609</v>
      </c>
      <c r="GZ22" s="62">
        <f ca="1">AVERAGE(OFFSET($GY$3,0,0,'Données projet'!$E$18+1,1))-AVERAGE(OFFSET($H$3,0,0,'Données projet'!$E$18+1,1))</f>
        <v>254.35742752782755</v>
      </c>
      <c r="HA22" s="62">
        <f t="shared" si="52"/>
        <v>171.79611712137395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>
        <f>EXP(-LN(2)/35)*HG21+(1-EXP(-LN(2)/35))/(LN(2)/35)*HC22*HD22*VLOOKUP('Données projet'!$B$18,Paramètres!$A$1:$I$89,3,0)*0.475*44/12</f>
        <v>0</v>
      </c>
      <c r="HH22" s="23">
        <f>EXP(-LN(2)/25)*HH21+(1-EXP(-LN(2)/25))/(LN(2)/25)*Calculateur!HC22*Calculateur!HE22*VLOOKUP('Données projet'!$B$18,Paramètres!$A$1:$I$89,3,0)*0.475*44/12</f>
        <v>0</v>
      </c>
      <c r="HI22" s="23">
        <f>EXP(-LN(2)/2)*HI21+(1-EXP(-LN(2)/2))/(LN(2)/2)*HC22*HF22*VLOOKUP('Données projet'!$B$18,Paramètres!$A$1:$I$89,3,0)*0.475*44/12</f>
        <v>0</v>
      </c>
      <c r="HJ22" s="24">
        <f t="shared" si="30"/>
        <v>0</v>
      </c>
    </row>
    <row r="23" spans="1:218" s="5" customFormat="1" x14ac:dyDescent="0.3">
      <c r="A23" s="11">
        <f t="shared" si="31"/>
        <v>20</v>
      </c>
      <c r="B23" s="76">
        <f>'Scénario référence'!$B$16*5+'Scénario référence'!$B$17*0+'Scénario référence'!$B$18*5</f>
        <v>3.9405000000000001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14.448500000000001</v>
      </c>
      <c r="H23" s="69">
        <f t="shared" si="1"/>
        <v>161.30656666666667</v>
      </c>
      <c r="I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48.896142026721911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36.176923076923075</v>
      </c>
      <c r="L23" s="13">
        <f>VLOOKUP(A23,'Données projet'!$A$35:$I$55,9,0)</f>
        <v>3.0276923076923068</v>
      </c>
      <c r="M23" s="13">
        <f t="array" ref="M23">INDEX(L:L,MIN(IF(ISNUMBER(L23:L219),ROW(L23:L219),"")))</f>
        <v>3.0276923076923068</v>
      </c>
      <c r="N23" s="14">
        <f>IF('Données projet'!$A$36&gt;35,N22+M23-V22,IF(A23&lt;'Données projet'!$A$36,$K$205^A23,IF(A23='Données projet'!$A$36,'Données projet'!$B$36,N22+M23-V22)))</f>
        <v>36.176923076923067</v>
      </c>
      <c r="O23" s="14">
        <f>N23*VLOOKUP('Données projet'!$B$9,Paramètres!$A$1:$I$89,3,0)*VLOOKUP('Données projet'!$B$9,Paramètres!$A$1:$I$89,5,0)</f>
        <v>21.163499999999996</v>
      </c>
      <c r="P23" s="14">
        <f t="shared" si="33"/>
        <v>6.8366157825945306</v>
      </c>
      <c r="Q23" s="22">
        <f t="shared" si="2"/>
        <v>48.766868321352128</v>
      </c>
      <c r="R23" s="62">
        <f t="shared" si="0"/>
        <v>252.4971668637769</v>
      </c>
      <c r="S23" s="62">
        <f ca="1">AVERAGE(OFFSET($R$3,0,0,'Données projet'!$E$9+1,1))-AVERAGE(OFFSET($H$3,0,0,'Données projet'!$E$9+1,1))</f>
        <v>210.54472399593521</v>
      </c>
      <c r="T23" s="62">
        <f t="shared" si="34"/>
        <v>181.14158435194193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7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48.896142026721911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85.7</v>
      </c>
      <c r="AG23" s="13">
        <f>VLOOKUP(A23,'Données projet'!$A$61:$I$81,9,0)</f>
        <v>4.9800000000000013</v>
      </c>
      <c r="AH23" s="13">
        <f t="array" ref="AH23">INDEX(AG:AG,MIN(IF(ISNUMBER(AG23:AG219),ROW(AG23:AG219),"")))</f>
        <v>4.9800000000000013</v>
      </c>
      <c r="AI23" s="14">
        <f>IF('Données projet'!$A$62&gt;35,AI22+AH23-AQ22,IF(A23&lt;'Données projet'!$A$62,$AF$205^A23,IF(A23='Données projet'!$A$62,'Données projet'!$B$62,AI22+AH23-AQ22)))</f>
        <v>85.700000000000017</v>
      </c>
      <c r="AJ23" s="14">
        <f>AI23*VLOOKUP('Données projet'!$B$10,Paramètres!$A$1:$I$89,3,0)*VLOOKUP('Données projet'!$B$10,Paramètres!$A$1:$I$89,5,0)</f>
        <v>44.564000000000014</v>
      </c>
      <c r="AK23" s="14">
        <f t="shared" si="35"/>
        <v>13.200624381506666</v>
      </c>
      <c r="AL23" s="22">
        <f t="shared" si="4"/>
        <v>100.60672079779079</v>
      </c>
      <c r="AM23" s="62">
        <f t="shared" si="5"/>
        <v>304.33701934021553</v>
      </c>
      <c r="AN23" s="62">
        <f ca="1">AVERAGE(OFFSET($AM$3,0,0,'Données projet'!$E$10+1,1))-AVERAGE(OFFSET($H$3,0,0,'Données projet'!$E$10+1,1))</f>
        <v>289.05608923588198</v>
      </c>
      <c r="AO23" s="62">
        <f t="shared" si="36"/>
        <v>220.06639020312738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48.896142026721911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34.9</v>
      </c>
      <c r="BB23" s="13">
        <f>VLOOKUP(A23,'Données projet'!$A$87:$I$107,9,0)</f>
        <v>1.9558333333333331</v>
      </c>
      <c r="BC23" s="13">
        <f t="array" ref="BC23">INDEX(BB:BB,MIN(IF(ISNUMBER(BB23:BB219),ROW(BB23:BB219),"")))</f>
        <v>1.9558333333333331</v>
      </c>
      <c r="BD23" s="13">
        <f>IF('Données projet'!$A$88&gt;35,BD22+BC23-BL22,IF(A23&lt;'Données projet'!$A$88,$BA$205^A23,IF(A23='Données projet'!$A$88,'Données projet'!$B$88,BD22+BC23-BL22)))</f>
        <v>34.900000000000006</v>
      </c>
      <c r="BE23" s="14">
        <f>BD23*VLOOKUP('Données projet'!$B$11,Paramètres!$A$1:$I$89,3,0)*VLOOKUP('Données projet'!$B$11,Paramètres!$A$1:$I$89,5,0)</f>
        <v>40.204800000000006</v>
      </c>
      <c r="BF23" s="14">
        <f t="shared" si="37"/>
        <v>12.052913024749227</v>
      </c>
      <c r="BG23" s="22">
        <f t="shared" si="7"/>
        <v>91.01551685143825</v>
      </c>
      <c r="BH23" s="62">
        <f t="shared" si="8"/>
        <v>294.74581539386304</v>
      </c>
      <c r="BI23" s="62">
        <f ca="1">AVERAGE(OFFSET($BH$3,0,0,'Données projet'!$E$11+1,1))-AVERAGE(OFFSET($H$3,0,0,'Données projet'!$E$11+1,1))</f>
        <v>299.54950406029354</v>
      </c>
      <c r="BJ23" s="62">
        <f t="shared" si="38"/>
        <v>208.26364698165739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48.896142026721911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36.53846153846154</v>
      </c>
      <c r="BW23" s="13">
        <f>VLOOKUP(A23,'Données projet'!$A$113:$I$133,9,0)</f>
        <v>1.8269230769230771</v>
      </c>
      <c r="BX23" s="13">
        <f t="array" ref="BX23">INDEX(BW:BW,MIN(IF(ISNUMBER(BW23:BW219),ROW(BW23:BW219),"")))</f>
        <v>1.8269230769230771</v>
      </c>
      <c r="BY23" s="13">
        <f>IF('Données projet'!$A$114&gt;35,BY22+BX23-CG22,IF(A23&lt;'Données projet'!$A$114,$BV$205^A23,IF(A23='Données projet'!$A$114,'Données projet'!$B$114,BY22+BX23-CG22)))</f>
        <v>36.53846153846154</v>
      </c>
      <c r="BZ23" s="14">
        <f>BY23*VLOOKUP('Données projet'!$B$12,Paramètres!$A$1:$I$89,3,0)*VLOOKUP('Données projet'!$B$12,Paramètres!$A$1:$I$89,5,0)</f>
        <v>39.33</v>
      </c>
      <c r="CA23" s="14">
        <f t="shared" si="39"/>
        <v>11.820889126791311</v>
      </c>
      <c r="CB23" s="22">
        <f t="shared" si="10"/>
        <v>89.087798562494868</v>
      </c>
      <c r="CC23" s="62">
        <f t="shared" si="11"/>
        <v>292.81809710491962</v>
      </c>
      <c r="CD23" s="62">
        <f ca="1">AVERAGE(OFFSET($CC$3,0,0,'Données projet'!$E$12+1,1))-AVERAGE(OFFSET($H$3,0,0,'Données projet'!$E$12+1,1))</f>
        <v>441.30518831297212</v>
      </c>
      <c r="CE23" s="62">
        <f t="shared" si="40"/>
        <v>270.42872405271851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48.896142026721911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57</v>
      </c>
      <c r="CR23" s="13">
        <f>VLOOKUP(A23,'Données projet'!$A$139:$I$159,9,0)</f>
        <v>9.6</v>
      </c>
      <c r="CS23" s="13">
        <f t="array" ref="CS23">INDEX(CR:CR,MIN(IF(ISNUMBER(CR23:CR219),ROW(CR23:CR219),"")))</f>
        <v>9.6</v>
      </c>
      <c r="CT23" s="13">
        <f>IF('Données projet'!$A$140&gt;35,CT22+CS23-DB22,IF(A23&lt;'Données projet'!$A$140,$CQ$205^A23,IF(A23='Données projet'!$A$140,'Données projet'!$B$140,CT22+CS23-DB22)))</f>
        <v>57.000000000000007</v>
      </c>
      <c r="CU23" s="18">
        <f>CT23*VLOOKUP('Données projet'!$B$13,Paramètres!$A$1:$I$89,3,0)*VLOOKUP('Données projet'!$B$13,Paramètres!$A$1:$I$89,5,0)</f>
        <v>49.795200000000008</v>
      </c>
      <c r="CV23" s="14">
        <f t="shared" si="41"/>
        <v>14.560856542690781</v>
      </c>
      <c r="CW23" s="22">
        <f t="shared" si="13"/>
        <v>112.08679847851981</v>
      </c>
      <c r="CX23" s="62">
        <f t="shared" si="14"/>
        <v>315.81709702094457</v>
      </c>
      <c r="CY23" s="62">
        <f ca="1">AVERAGE(OFFSET($CX$3,0,0,'Données projet'!$E$13+1,1))-AVERAGE(OFFSET($H$3,0,0,'Données projet'!$E$13+1,1))</f>
        <v>310.81258463659196</v>
      </c>
      <c r="CZ23" s="62">
        <f t="shared" si="42"/>
        <v>287.31099756692083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48.896142026721911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36.53846153846154</v>
      </c>
      <c r="DM23" s="13">
        <f>VLOOKUP(A23,'Données projet'!$A$165:$I$185,9,0)</f>
        <v>1.8269230769230771</v>
      </c>
      <c r="DN23" s="13">
        <f t="array" ref="DN23">INDEX(DM:DM,MIN(IF(ISNUMBER(DM23:DM219),ROW(DM23:DM219),"")))</f>
        <v>1.8269230769230771</v>
      </c>
      <c r="DO23" s="13">
        <f>IF('Données projet'!$A$166&gt;35,DO22+DN23-DW22,IF(A23&lt;'Données projet'!$A$166,$DL$205^A23,IF(A23='Données projet'!$A$166,'Données projet'!$B$166,DO22+DN23-DW22)))</f>
        <v>36.53846153846154</v>
      </c>
      <c r="DP23" s="18">
        <f>DO23*VLOOKUP('Données projet'!$B$14,Paramètres!$A$1:$I$89,3,0)*VLOOKUP('Données projet'!$B$14,Paramètres!$A$1:$I$89,5,0)</f>
        <v>38.190000000000005</v>
      </c>
      <c r="DQ23" s="14">
        <f t="shared" si="43"/>
        <v>11.517620987198425</v>
      </c>
      <c r="DR23" s="22">
        <f t="shared" si="16"/>
        <v>86.574106552703938</v>
      </c>
      <c r="DS23" s="62">
        <f t="shared" si="17"/>
        <v>290.30440509512869</v>
      </c>
      <c r="DT23" s="62">
        <f ca="1">AVERAGE(OFFSET($DS$3,0,0,'Données projet'!$E$14+1,1))-AVERAGE(OFFSET($H$3,0,0,'Données projet'!$E$14+1,1))</f>
        <v>431.19274104373625</v>
      </c>
      <c r="DU23" s="62">
        <f t="shared" si="44"/>
        <v>264.67919175178133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48.896142026721911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3.4425641025641025</v>
      </c>
      <c r="EJ23" s="13">
        <f>IF('Données projet'!$A$192&gt;35,EJ22+EI23-ER22,IF(A23&lt;'Données projet'!$A$192,$EG$205^A23,IF(A23='Données projet'!$A$192,'Données projet'!$B$192,EJ22+EI23-ER22)))</f>
        <v>22.012474220583886</v>
      </c>
      <c r="EK23" s="18">
        <f>EJ23*VLOOKUP('Données projet'!$B$15,Paramètres!$A$1:$I$89,3,0)*VLOOKUP('Données projet'!$B$15,Paramètres!$A$1:$I$89,5,0)</f>
        <v>10.301837935233259</v>
      </c>
      <c r="EL23" s="14">
        <f t="shared" si="45"/>
        <v>3.6187910342764393</v>
      </c>
      <c r="EM23" s="22">
        <f t="shared" si="19"/>
        <v>24.245095455229389</v>
      </c>
      <c r="EN23" s="62">
        <f t="shared" si="20"/>
        <v>227.97539399765418</v>
      </c>
      <c r="EO23" s="62">
        <f ca="1">AVERAGE(OFFSET($EN$3,0,0,'Données projet'!$E$15+1,1))-AVERAGE(OFFSET($H$3,0,0,'Données projet'!$E$15+1,1))</f>
        <v>291.68530745507815</v>
      </c>
      <c r="EP23" s="62">
        <f t="shared" si="46"/>
        <v>175.95121106728979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48.896142026721911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>
        <f>VLOOKUP(A23,'Données projet'!$A$217:$I$237,2,0)</f>
        <v>71</v>
      </c>
      <c r="FC23" s="13">
        <f>VLOOKUP(A23,'Données projet'!$A$217:$I$237,9,0)</f>
        <v>8.4</v>
      </c>
      <c r="FD23" s="13">
        <f t="array" ref="FD23">INDEX(FC:FC,MIN(IF(ISNUMBER(FC23:FC219),ROW(FC23:FC219),"")))</f>
        <v>8.4</v>
      </c>
      <c r="FE23" s="13">
        <f>IF('Données projet'!$A$218&gt;35,FE22+FD23-FM22,IF(A23&lt;'Données projet'!$A$218,$FB$205^A23,IF(A23='Données projet'!$A$218,'Données projet'!$B$218,FE22+FD23-FM22)))</f>
        <v>71</v>
      </c>
      <c r="FF23" s="18">
        <f>FE23*VLOOKUP('Données projet'!$B$16,Paramètres!$A$1:$I$89,3,0)*VLOOKUP('Données projet'!$B$16,Paramètres!$A$1:$I$89,5,0)</f>
        <v>46.519200000000005</v>
      </c>
      <c r="FG23" s="14">
        <f t="shared" si="47"/>
        <v>13.711087737270105</v>
      </c>
      <c r="FH23" s="22">
        <f t="shared" si="22"/>
        <v>104.90108447574544</v>
      </c>
      <c r="FI23" s="62">
        <f t="shared" si="23"/>
        <v>308.6313830181702</v>
      </c>
      <c r="FJ23" s="62">
        <f ca="1">AVERAGE(OFFSET($FI$3,0,0,'Données projet'!$E$16+1,1))-AVERAGE(OFFSET($H$3,0,0,'Données projet'!$E$16+1,1))</f>
        <v>248.75689726928428</v>
      </c>
      <c r="FK23" s="62">
        <f t="shared" si="48"/>
        <v>232.02291680388336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projet'!$B$16,Paramètres!$A$1:$I$89,3,0)*0.475*44/12</f>
        <v>0</v>
      </c>
      <c r="FR23" s="23">
        <f>EXP(-LN(2)/25)*FR22+(1-EXP(-LN(2)/25))/(LN(2)/25)*Calculateur!FM23*Calculateur!FO23*VLOOKUP('Données projet'!$B$16,Paramètres!$A$1:$I$89,3,0)*0.475*44/12</f>
        <v>0</v>
      </c>
      <c r="FS23" s="23">
        <f>EXP(-LN(2)/2)*FS22+(1-EXP(-LN(2)/2))/(LN(2)/2)*FM23*FP23*VLOOKUP('Données projet'!$B$16,Paramètres!$A$1:$I$89,3,0)*0.475*44/12</f>
        <v>0</v>
      </c>
      <c r="FT23" s="24">
        <f t="shared" si="24"/>
        <v>0</v>
      </c>
      <c r="FU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48.896142026721911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5</v>
      </c>
      <c r="FZ23" s="13">
        <f>IF('Données projet'!$A$244&gt;35,FZ22+FY23-GH22,IF(A23&lt;'Données projet'!$A$244,$FW$205^A23,IF(A23='Données projet'!$A$244,'Données projet'!$B$244,FZ22+FY23-GH22)))</f>
        <v>30.945579667023001</v>
      </c>
      <c r="GA23" s="18">
        <f>FZ23*VLOOKUP('Données projet'!$B$17,Paramètres!$A$1:$I$89,3,0)*VLOOKUP('Données projet'!$B$17,Paramètres!$A$1:$I$89,5,0)</f>
        <v>18.505456640879753</v>
      </c>
      <c r="GB23" s="14">
        <f t="shared" si="49"/>
        <v>6.0720896313657011</v>
      </c>
      <c r="GC23" s="22">
        <f t="shared" si="25"/>
        <v>42.805893090827503</v>
      </c>
      <c r="GD23" s="62">
        <f t="shared" si="26"/>
        <v>246.53619163325229</v>
      </c>
      <c r="GE23" s="62">
        <f ca="1">AVERAGE(OFFSET($GD$3,0,0,'Données projet'!$E$17+1,1))-AVERAGE(OFFSET($H$3,0,0,'Données projet'!$E$17+1,1))</f>
        <v>315.909549580511</v>
      </c>
      <c r="GF23" s="62">
        <f t="shared" si="50"/>
        <v>208.56856525402051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>
        <f>EXP(-LN(2)/35)*GL22+(1-EXP(-LN(2)/35))/(LN(2)/35)*GH23*GI23*VLOOKUP('Données projet'!$B$17,Paramètres!$A$1:$I$89,3,0)*0.475*44/12</f>
        <v>0</v>
      </c>
      <c r="GM23" s="23">
        <f>EXP(-LN(2)/25)*GM22+(1-EXP(-LN(2)/25))/(LN(2)/25)*Calculateur!GH23*Calculateur!GJ23*VLOOKUP('Données projet'!$B$17,Paramètres!$A$1:$I$89,3,0)*0.475*44/12</f>
        <v>0</v>
      </c>
      <c r="GN23" s="23">
        <f>EXP(-LN(2)/2)*GN22+(1-EXP(-LN(2)/2))/(LN(2)/2)*GH23*GK23*VLOOKUP('Données projet'!$B$17,Paramètres!$A$1:$I$89,3,0)*0.475*44/12</f>
        <v>0</v>
      </c>
      <c r="GO23" s="23">
        <f t="shared" si="27"/>
        <v>0</v>
      </c>
      <c r="GP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48.896142026721911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>
        <f>VLOOKUP(A23,'Données projet'!$A$269:$I$289,2,0)</f>
        <v>32.692307692307693</v>
      </c>
      <c r="GS23" s="13">
        <f>VLOOKUP(A23,'Données projet'!$A$269:$I$289,9,0)</f>
        <v>1.6346153846153846</v>
      </c>
      <c r="GT23" s="13">
        <f t="array" ref="GT23">INDEX(GS:GS,MIN(IF(ISNUMBER(GS23:GS219),ROW(GS23:GS219),"")))</f>
        <v>1.6346153846153846</v>
      </c>
      <c r="GU23" s="13">
        <f>IF('Données projet'!$A$270&gt;35,GU22+GT23-HC22,IF(A23&lt;'Données projet'!$A$270,$GR$205^A23,IF(A23='Données projet'!$A$270,'Données projet'!$B$270,GU22+GT23-HC22)))</f>
        <v>32.692307692307693</v>
      </c>
      <c r="GV23" s="18">
        <f>GU23*VLOOKUP('Données projet'!$B$18,Paramètres!$A$1:$I$89,3,0)*VLOOKUP('Données projet'!$B$18,Paramètres!$A$1:$I$89,5,0)</f>
        <v>21.930000000000003</v>
      </c>
      <c r="GW23" s="14">
        <f t="shared" si="51"/>
        <v>7.0549477202322466</v>
      </c>
      <c r="GX23" s="22">
        <f t="shared" si="28"/>
        <v>50.482117279404498</v>
      </c>
      <c r="GY23" s="62">
        <f t="shared" si="29"/>
        <v>254.21241582182927</v>
      </c>
      <c r="GZ23" s="62">
        <f ca="1">AVERAGE(OFFSET($GY$3,0,0,'Données projet'!$E$18+1,1))-AVERAGE(OFFSET($H$3,0,0,'Données projet'!$E$18+1,1))</f>
        <v>254.35742752782755</v>
      </c>
      <c r="HA23" s="62">
        <f t="shared" si="52"/>
        <v>171.79611712137395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>
        <f>EXP(-LN(2)/35)*HG22+(1-EXP(-LN(2)/35))/(LN(2)/35)*HC23*HD23*VLOOKUP('Données projet'!$B$18,Paramètres!$A$1:$I$89,3,0)*0.475*44/12</f>
        <v>0</v>
      </c>
      <c r="HH23" s="23">
        <f>EXP(-LN(2)/25)*HH22+(1-EXP(-LN(2)/25))/(LN(2)/25)*Calculateur!HC23*Calculateur!HE23*VLOOKUP('Données projet'!$B$18,Paramètres!$A$1:$I$89,3,0)*0.475*44/12</f>
        <v>0</v>
      </c>
      <c r="HI23" s="23">
        <f>EXP(-LN(2)/2)*HI22+(1-EXP(-LN(2)/2))/(LN(2)/2)*HC23*HF23*VLOOKUP('Données projet'!$B$18,Paramètres!$A$1:$I$89,3,0)*0.475*44/12</f>
        <v>0</v>
      </c>
      <c r="HJ23" s="24">
        <f t="shared" si="30"/>
        <v>0</v>
      </c>
    </row>
    <row r="24" spans="1:218" s="5" customFormat="1" x14ac:dyDescent="0.3">
      <c r="A24" s="11">
        <f t="shared" si="31"/>
        <v>21</v>
      </c>
      <c r="B24" s="76">
        <f>'Scénario référence'!$B$16*5+'Scénario référence'!$B$17*0+'Scénario référence'!$B$18*5</f>
        <v>3.9405000000000001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14.448500000000001</v>
      </c>
      <c r="H24" s="69">
        <f t="shared" si="1"/>
        <v>161.30656666666667</v>
      </c>
      <c r="I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49.262246781400108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4.4723076923076919</v>
      </c>
      <c r="N24" s="14">
        <f>IF('Données projet'!$A$36&gt;35,N23+M24-V23,IF(A24&lt;'Données projet'!$A$36,$K$205^A24,IF(A24='Données projet'!$A$36,'Données projet'!$B$36,N23+M24-V23)))</f>
        <v>40.649230769230762</v>
      </c>
      <c r="O24" s="14">
        <f>N24*VLOOKUP('Données projet'!$B$9,Paramètres!$A$1:$I$89,3,0)*VLOOKUP('Données projet'!$B$9,Paramètres!$A$1:$I$89,5,0)</f>
        <v>23.779799999999998</v>
      </c>
      <c r="P24" s="14">
        <f t="shared" si="33"/>
        <v>7.5782622172573655</v>
      </c>
      <c r="Q24" s="22">
        <f t="shared" si="2"/>
        <v>54.615291695056577</v>
      </c>
      <c r="R24" s="62">
        <f t="shared" si="0"/>
        <v>260.91019656019029</v>
      </c>
      <c r="S24" s="62">
        <f ca="1">AVERAGE(OFFSET($R$3,0,0,'Données projet'!$E$9+1,1))-AVERAGE(OFFSET($H$3,0,0,'Données projet'!$E$9+1,1))</f>
        <v>210.54472399593521</v>
      </c>
      <c r="T24" s="62">
        <f t="shared" si="34"/>
        <v>181.14158435194193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49.262246781400108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4.74</v>
      </c>
      <c r="AI24" s="14">
        <f>IF('Données projet'!$A$62&gt;35,AI23+AH24-AQ23,IF(A24&lt;'Données projet'!$A$62,$AF$205^A24,IF(A24='Données projet'!$A$62,'Données projet'!$B$62,AI23+AH24-AQ23)))</f>
        <v>90.440000000000012</v>
      </c>
      <c r="AJ24" s="14">
        <f>AI24*VLOOKUP('Données projet'!$B$10,Paramètres!$A$1:$I$89,3,0)*VLOOKUP('Données projet'!$B$10,Paramètres!$A$1:$I$89,5,0)</f>
        <v>47.028800000000011</v>
      </c>
      <c r="AK24" s="14">
        <f t="shared" si="35"/>
        <v>13.843719928712767</v>
      </c>
      <c r="AL24" s="22">
        <f t="shared" si="4"/>
        <v>106.01963887584141</v>
      </c>
      <c r="AM24" s="62">
        <f t="shared" si="5"/>
        <v>312.31454374097513</v>
      </c>
      <c r="AN24" s="62">
        <f ca="1">AVERAGE(OFFSET($AM$3,0,0,'Données projet'!$E$10+1,1))-AVERAGE(OFFSET($H$3,0,0,'Données projet'!$E$10+1,1))</f>
        <v>289.05608923588198</v>
      </c>
      <c r="AO24" s="62">
        <f t="shared" si="36"/>
        <v>220.06639020312738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49.262246781400108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1.9887500000000009</v>
      </c>
      <c r="BD24" s="13">
        <f>IF('Données projet'!$A$88&gt;35,BD23+BC24-BL23,IF(A24&lt;'Données projet'!$A$88,$BA$205^A24,IF(A24='Données projet'!$A$88,'Données projet'!$B$88,BD23+BC24-BL23)))</f>
        <v>36.888750000000009</v>
      </c>
      <c r="BE24" s="14">
        <f>BD24*VLOOKUP('Données projet'!$B$11,Paramètres!$A$1:$I$89,3,0)*VLOOKUP('Données projet'!$B$11,Paramètres!$A$1:$I$89,5,0)</f>
        <v>42.495840000000008</v>
      </c>
      <c r="BF24" s="14">
        <f t="shared" si="37"/>
        <v>12.657821296361272</v>
      </c>
      <c r="BG24" s="22">
        <f t="shared" si="7"/>
        <v>96.059293424495877</v>
      </c>
      <c r="BH24" s="62">
        <f t="shared" si="8"/>
        <v>302.35419828962961</v>
      </c>
      <c r="BI24" s="62">
        <f ca="1">AVERAGE(OFFSET($BH$3,0,0,'Données projet'!$E$11+1,1))-AVERAGE(OFFSET($H$3,0,0,'Données projet'!$E$11+1,1))</f>
        <v>299.54950406029354</v>
      </c>
      <c r="BJ24" s="62">
        <f t="shared" si="38"/>
        <v>208.26364698165739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49.262246781400108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4.7435897435897427</v>
      </c>
      <c r="BY24" s="13">
        <f>IF('Données projet'!$A$114&gt;35,BY23+BX24-CG23,IF(A24&lt;'Données projet'!$A$114,$BV$205^A24,IF(A24='Données projet'!$A$114,'Données projet'!$B$114,BY23+BX24-CG23)))</f>
        <v>41.282051282051285</v>
      </c>
      <c r="BZ24" s="14">
        <f>BY24*VLOOKUP('Données projet'!$B$12,Paramètres!$A$1:$I$89,3,0)*VLOOKUP('Données projet'!$B$12,Paramètres!$A$1:$I$89,5,0)</f>
        <v>44.436</v>
      </c>
      <c r="CA24" s="14">
        <f t="shared" si="39"/>
        <v>13.167116370001004</v>
      </c>
      <c r="CB24" s="22">
        <f t="shared" si="10"/>
        <v>100.32542767775175</v>
      </c>
      <c r="CC24" s="62">
        <f t="shared" si="11"/>
        <v>306.62033254288548</v>
      </c>
      <c r="CD24" s="62">
        <f ca="1">AVERAGE(OFFSET($CC$3,0,0,'Données projet'!$E$12+1,1))-AVERAGE(OFFSET($H$3,0,0,'Données projet'!$E$12+1,1))</f>
        <v>441.30518831297212</v>
      </c>
      <c r="CE24" s="62">
        <f t="shared" si="40"/>
        <v>270.42872405271851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49.262246781400108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10</v>
      </c>
      <c r="CT24" s="13">
        <f>IF('Données projet'!$A$140&gt;35,CT23+CS24-DB23,IF(A24&lt;'Données projet'!$A$140,$CQ$205^A24,IF(A24='Données projet'!$A$140,'Données projet'!$B$140,CT23+CS24-DB23)))</f>
        <v>67</v>
      </c>
      <c r="CU24" s="18">
        <f>CT24*VLOOKUP('Données projet'!$B$13,Paramètres!$A$1:$I$89,3,0)*VLOOKUP('Données projet'!$B$13,Paramètres!$A$1:$I$89,5,0)</f>
        <v>58.531200000000005</v>
      </c>
      <c r="CV24" s="14">
        <f t="shared" si="41"/>
        <v>16.796376317470752</v>
      </c>
      <c r="CW24" s="22">
        <f t="shared" si="13"/>
        <v>131.19552875292825</v>
      </c>
      <c r="CX24" s="62">
        <f t="shared" si="14"/>
        <v>337.49043361806196</v>
      </c>
      <c r="CY24" s="62">
        <f ca="1">AVERAGE(OFFSET($CX$3,0,0,'Données projet'!$E$13+1,1))-AVERAGE(OFFSET($H$3,0,0,'Données projet'!$E$13+1,1))</f>
        <v>310.81258463659196</v>
      </c>
      <c r="CZ24" s="62">
        <f t="shared" si="42"/>
        <v>287.31099756692083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49.262246781400108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4.7435897435897427</v>
      </c>
      <c r="DO24" s="13">
        <f>IF('Données projet'!$A$166&gt;35,DO23+DN24-DW23,IF(A24&lt;'Données projet'!$A$166,$DL$205^A24,IF(A24='Données projet'!$A$166,'Données projet'!$B$166,DO23+DN24-DW23)))</f>
        <v>41.282051282051285</v>
      </c>
      <c r="DP24" s="18">
        <f>DO24*VLOOKUP('Données projet'!$B$14,Paramètres!$A$1:$I$89,3,0)*VLOOKUP('Données projet'!$B$14,Paramètres!$A$1:$I$89,5,0)</f>
        <v>43.148000000000003</v>
      </c>
      <c r="DQ24" s="14">
        <f t="shared" si="43"/>
        <v>12.829310402742328</v>
      </c>
      <c r="DR24" s="22">
        <f t="shared" si="16"/>
        <v>97.493815618109565</v>
      </c>
      <c r="DS24" s="62">
        <f t="shared" si="17"/>
        <v>303.78872048324331</v>
      </c>
      <c r="DT24" s="62">
        <f ca="1">AVERAGE(OFFSET($DS$3,0,0,'Données projet'!$E$14+1,1))-AVERAGE(OFFSET($H$3,0,0,'Données projet'!$E$14+1,1))</f>
        <v>431.19274104373625</v>
      </c>
      <c r="DU24" s="62">
        <f t="shared" si="44"/>
        <v>264.67919175178133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49.262246781400108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3.4425641025641025</v>
      </c>
      <c r="EJ24" s="13">
        <f>IF('Données projet'!$A$192&gt;35,EJ23+EI24-ER23,IF(A24&lt;'Données projet'!$A$192,$EG$205^A24,IF(A24='Données projet'!$A$192,'Données projet'!$B$192,EJ23+EI24-ER23)))</f>
        <v>25.692259707215236</v>
      </c>
      <c r="EK24" s="18">
        <f>EJ24*VLOOKUP('Données projet'!$B$15,Paramètres!$A$1:$I$89,3,0)*VLOOKUP('Données projet'!$B$15,Paramètres!$A$1:$I$89,5,0)</f>
        <v>12.023977542976729</v>
      </c>
      <c r="EL24" s="14">
        <f t="shared" si="45"/>
        <v>4.1484190116858626</v>
      </c>
      <c r="EM24" s="22">
        <f t="shared" si="19"/>
        <v>28.166923999370677</v>
      </c>
      <c r="EN24" s="62">
        <f t="shared" si="20"/>
        <v>234.46182886450441</v>
      </c>
      <c r="EO24" s="62">
        <f ca="1">AVERAGE(OFFSET($EN$3,0,0,'Données projet'!$E$15+1,1))-AVERAGE(OFFSET($H$3,0,0,'Données projet'!$E$15+1,1))</f>
        <v>291.68530745507815</v>
      </c>
      <c r="EP24" s="62">
        <f t="shared" si="46"/>
        <v>175.95121106728979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49.262246781400108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6.6</v>
      </c>
      <c r="FE24" s="13">
        <f>IF('Données projet'!$A$218&gt;35,FE23+FD24-FM23,IF(A24&lt;'Données projet'!$A$218,$FB$205^A24,IF(A24='Données projet'!$A$218,'Données projet'!$B$218,FE23+FD24-FM23)))</f>
        <v>77.599999999999994</v>
      </c>
      <c r="FF24" s="18">
        <f>FE24*VLOOKUP('Données projet'!$B$16,Paramètres!$A$1:$I$89,3,0)*VLOOKUP('Données projet'!$B$16,Paramètres!$A$1:$I$89,5,0)</f>
        <v>50.843519999999998</v>
      </c>
      <c r="FG24" s="14">
        <f t="shared" si="47"/>
        <v>14.831389822344645</v>
      </c>
      <c r="FH24" s="22">
        <f t="shared" si="22"/>
        <v>114.38380127391692</v>
      </c>
      <c r="FI24" s="62">
        <f t="shared" si="23"/>
        <v>320.67870613905063</v>
      </c>
      <c r="FJ24" s="62">
        <f ca="1">AVERAGE(OFFSET($FI$3,0,0,'Données projet'!$E$16+1,1))-AVERAGE(OFFSET($H$3,0,0,'Données projet'!$E$16+1,1))</f>
        <v>248.75689726928428</v>
      </c>
      <c r="FK24" s="62">
        <f t="shared" si="48"/>
        <v>232.02291680388336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projet'!$B$16,Paramètres!$A$1:$I$89,3,0)*0.475*44/12</f>
        <v>0</v>
      </c>
      <c r="FR24" s="23">
        <f>EXP(-LN(2)/25)*FR23+(1-EXP(-LN(2)/25))/(LN(2)/25)*Calculateur!FM24*Calculateur!FO24*VLOOKUP('Données projet'!$B$16,Paramètres!$A$1:$I$89,3,0)*0.475*44/12</f>
        <v>0</v>
      </c>
      <c r="FS24" s="23">
        <f>EXP(-LN(2)/2)*FS23+(1-EXP(-LN(2)/2))/(LN(2)/2)*FM24*FP24*VLOOKUP('Données projet'!$B$16,Paramètres!$A$1:$I$89,3,0)*0.475*44/12</f>
        <v>0</v>
      </c>
      <c r="FT24" s="24">
        <f t="shared" si="24"/>
        <v>0</v>
      </c>
      <c r="FU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49.262246781400108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5</v>
      </c>
      <c r="FZ24" s="13">
        <f>IF('Données projet'!$A$244&gt;35,FZ23+FY24-GH23,IF(A24&lt;'Données projet'!$A$244,$FW$205^A24,IF(A24='Données projet'!$A$244,'Données projet'!$B$244,FZ23+FY24-GH23)))</f>
        <v>36.739103399124403</v>
      </c>
      <c r="GA24" s="18">
        <f>FZ24*VLOOKUP('Données projet'!$B$17,Paramètres!$A$1:$I$89,3,0)*VLOOKUP('Données projet'!$B$17,Paramètres!$A$1:$I$89,5,0)</f>
        <v>21.969983832676395</v>
      </c>
      <c r="GB24" s="14">
        <f t="shared" si="49"/>
        <v>7.0663121916626217</v>
      </c>
      <c r="GC24" s="22">
        <f t="shared" si="25"/>
        <v>50.571548909057121</v>
      </c>
      <c r="GD24" s="62">
        <f t="shared" si="26"/>
        <v>256.86645377419086</v>
      </c>
      <c r="GE24" s="62">
        <f ca="1">AVERAGE(OFFSET($GD$3,0,0,'Données projet'!$E$17+1,1))-AVERAGE(OFFSET($H$3,0,0,'Données projet'!$E$17+1,1))</f>
        <v>315.909549580511</v>
      </c>
      <c r="GF24" s="62">
        <f t="shared" si="50"/>
        <v>208.56856525402051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>
        <f>EXP(-LN(2)/35)*GL23+(1-EXP(-LN(2)/35))/(LN(2)/35)*GH24*GI24*VLOOKUP('Données projet'!$B$17,Paramètres!$A$1:$I$89,3,0)*0.475*44/12</f>
        <v>0</v>
      </c>
      <c r="GM24" s="23">
        <f>EXP(-LN(2)/25)*GM23+(1-EXP(-LN(2)/25))/(LN(2)/25)*Calculateur!GH24*Calculateur!GJ24*VLOOKUP('Données projet'!$B$17,Paramètres!$A$1:$I$89,3,0)*0.475*44/12</f>
        <v>0</v>
      </c>
      <c r="GN24" s="23">
        <f>EXP(-LN(2)/2)*GN23+(1-EXP(-LN(2)/2))/(LN(2)/2)*GH24*GK24*VLOOKUP('Données projet'!$B$17,Paramètres!$A$1:$I$89,3,0)*0.475*44/12</f>
        <v>0</v>
      </c>
      <c r="GO24" s="23">
        <f t="shared" si="27"/>
        <v>0</v>
      </c>
      <c r="GP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49.262246781400108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5.1282051282051269</v>
      </c>
      <c r="GU24" s="13">
        <f>IF('Données projet'!$A$270&gt;35,GU23+GT24-HC23,IF(A24&lt;'Données projet'!$A$270,$GR$205^A24,IF(A24='Données projet'!$A$270,'Données projet'!$B$270,GU23+GT24-HC23)))</f>
        <v>37.820512820512818</v>
      </c>
      <c r="GV24" s="18">
        <f>GU24*VLOOKUP('Données projet'!$B$18,Paramètres!$A$1:$I$89,3,0)*VLOOKUP('Données projet'!$B$18,Paramètres!$A$1:$I$89,5,0)</f>
        <v>25.369999999999997</v>
      </c>
      <c r="GW24" s="14">
        <f t="shared" si="51"/>
        <v>8.0243456866877754</v>
      </c>
      <c r="GX24" s="22">
        <f t="shared" si="28"/>
        <v>58.16181873764787</v>
      </c>
      <c r="GY24" s="62">
        <f t="shared" si="29"/>
        <v>264.45672360278161</v>
      </c>
      <c r="GZ24" s="62">
        <f ca="1">AVERAGE(OFFSET($GY$3,0,0,'Données projet'!$E$18+1,1))-AVERAGE(OFFSET($H$3,0,0,'Données projet'!$E$18+1,1))</f>
        <v>254.35742752782755</v>
      </c>
      <c r="HA24" s="62">
        <f t="shared" si="52"/>
        <v>171.79611712137395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>
        <f>EXP(-LN(2)/35)*HG23+(1-EXP(-LN(2)/35))/(LN(2)/35)*HC24*HD24*VLOOKUP('Données projet'!$B$18,Paramètres!$A$1:$I$89,3,0)*0.475*44/12</f>
        <v>0</v>
      </c>
      <c r="HH24" s="23">
        <f>EXP(-LN(2)/25)*HH23+(1-EXP(-LN(2)/25))/(LN(2)/25)*Calculateur!HC24*Calculateur!HE24*VLOOKUP('Données projet'!$B$18,Paramètres!$A$1:$I$89,3,0)*0.475*44/12</f>
        <v>0</v>
      </c>
      <c r="HI24" s="23">
        <f>EXP(-LN(2)/2)*HI23+(1-EXP(-LN(2)/2))/(LN(2)/2)*HC24*HF24*VLOOKUP('Données projet'!$B$18,Paramètres!$A$1:$I$89,3,0)*0.475*44/12</f>
        <v>0</v>
      </c>
      <c r="HJ24" s="24">
        <f t="shared" si="30"/>
        <v>0</v>
      </c>
    </row>
    <row r="25" spans="1:218" s="5" customFormat="1" x14ac:dyDescent="0.3">
      <c r="A25" s="11">
        <f t="shared" si="31"/>
        <v>22</v>
      </c>
      <c r="B25" s="76">
        <f>'Scénario référence'!$B$16*5+'Scénario référence'!$B$17*0+'Scénario référence'!$B$18*5</f>
        <v>3.9405000000000001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14.448500000000001</v>
      </c>
      <c r="H25" s="69">
        <f t="shared" si="1"/>
        <v>161.30656666666667</v>
      </c>
      <c r="I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49.622000437072252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4.4723076923076919</v>
      </c>
      <c r="N25" s="14">
        <f>IF('Données projet'!$A$36&gt;35,N24+M25-V24,IF(A25&lt;'Données projet'!$A$36,$K$205^A25,IF(A25='Données projet'!$A$36,'Données projet'!$B$36,N24+M25-V24)))</f>
        <v>45.121538461538456</v>
      </c>
      <c r="O25" s="14">
        <f>N25*VLOOKUP('Données projet'!$B$9,Paramètres!$A$1:$I$89,3,0)*VLOOKUP('Données projet'!$B$9,Paramètres!$A$1:$I$89,5,0)</f>
        <v>26.396100000000001</v>
      </c>
      <c r="P25" s="14">
        <f t="shared" si="33"/>
        <v>8.3104511541894546</v>
      </c>
      <c r="Q25" s="22">
        <f t="shared" si="2"/>
        <v>60.447243260213298</v>
      </c>
      <c r="R25" s="62">
        <f t="shared" si="0"/>
        <v>269.28346708503381</v>
      </c>
      <c r="S25" s="62">
        <f ca="1">AVERAGE(OFFSET($R$3,0,0,'Données projet'!$E$9+1,1))-AVERAGE(OFFSET($H$3,0,0,'Données projet'!$E$9+1,1))</f>
        <v>210.54472399593521</v>
      </c>
      <c r="T25" s="62">
        <f t="shared" si="34"/>
        <v>181.14158435194193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49.622000437072252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4.74</v>
      </c>
      <c r="AI25" s="14">
        <f>IF('Données projet'!$A$62&gt;35,AI24+AH25-AQ24,IF(A25&lt;'Données projet'!$A$62,$AF$205^A25,IF(A25='Données projet'!$A$62,'Données projet'!$B$62,AI24+AH25-AQ24)))</f>
        <v>95.18</v>
      </c>
      <c r="AJ25" s="14">
        <f>AI25*VLOOKUP('Données projet'!$B$10,Paramètres!$A$1:$I$89,3,0)*VLOOKUP('Données projet'!$B$10,Paramètres!$A$1:$I$89,5,0)</f>
        <v>49.493600000000008</v>
      </c>
      <c r="AK25" s="14">
        <f t="shared" si="35"/>
        <v>14.482902274825232</v>
      </c>
      <c r="AL25" s="22">
        <f t="shared" si="4"/>
        <v>111.42574146198729</v>
      </c>
      <c r="AM25" s="62">
        <f t="shared" si="5"/>
        <v>320.26196528680782</v>
      </c>
      <c r="AN25" s="62">
        <f ca="1">AVERAGE(OFFSET($AM$3,0,0,'Données projet'!$E$10+1,1))-AVERAGE(OFFSET($H$3,0,0,'Données projet'!$E$10+1,1))</f>
        <v>289.05608923588198</v>
      </c>
      <c r="AO25" s="62">
        <f t="shared" si="36"/>
        <v>220.06639020312738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49.622000437072252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1.9887500000000009</v>
      </c>
      <c r="BD25" s="13">
        <f>IF('Données projet'!$A$88&gt;35,BD24+BC25-BL24,IF(A25&lt;'Données projet'!$A$88,$BA$205^A25,IF(A25='Données projet'!$A$88,'Données projet'!$B$88,BD24+BC25-BL24)))</f>
        <v>38.877500000000012</v>
      </c>
      <c r="BE25" s="14">
        <f>BD25*VLOOKUP('Données projet'!$B$11,Paramètres!$A$1:$I$89,3,0)*VLOOKUP('Données projet'!$B$11,Paramètres!$A$1:$I$89,5,0)</f>
        <v>44.786880000000011</v>
      </c>
      <c r="BF25" s="14">
        <f t="shared" si="37"/>
        <v>13.258943495431026</v>
      </c>
      <c r="BG25" s="22">
        <f t="shared" si="7"/>
        <v>101.09647592120905</v>
      </c>
      <c r="BH25" s="62">
        <f t="shared" si="8"/>
        <v>309.93269974602958</v>
      </c>
      <c r="BI25" s="62">
        <f ca="1">AVERAGE(OFFSET($BH$3,0,0,'Données projet'!$E$11+1,1))-AVERAGE(OFFSET($H$3,0,0,'Données projet'!$E$11+1,1))</f>
        <v>299.54950406029354</v>
      </c>
      <c r="BJ25" s="62">
        <f t="shared" si="38"/>
        <v>208.26364698165739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49.622000437072252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4.7435897435897427</v>
      </c>
      <c r="BY25" s="13">
        <f>IF('Données projet'!$A$114&gt;35,BY24+BX25-CG24,IF(A25&lt;'Données projet'!$A$114,$BV$205^A25,IF(A25='Données projet'!$A$114,'Données projet'!$B$114,BY24+BX25-CG24)))</f>
        <v>46.025641025641029</v>
      </c>
      <c r="BZ25" s="14">
        <f>BY25*VLOOKUP('Données projet'!$B$12,Paramètres!$A$1:$I$89,3,0)*VLOOKUP('Données projet'!$B$12,Paramètres!$A$1:$I$89,5,0)</f>
        <v>49.542000000000002</v>
      </c>
      <c r="CA25" s="14">
        <f t="shared" si="39"/>
        <v>14.495415893475638</v>
      </c>
      <c r="CB25" s="22">
        <f t="shared" si="10"/>
        <v>111.53183268113673</v>
      </c>
      <c r="CC25" s="62">
        <f t="shared" si="11"/>
        <v>320.36805650595727</v>
      </c>
      <c r="CD25" s="62">
        <f ca="1">AVERAGE(OFFSET($CC$3,0,0,'Données projet'!$E$12+1,1))-AVERAGE(OFFSET($H$3,0,0,'Données projet'!$E$12+1,1))</f>
        <v>441.30518831297212</v>
      </c>
      <c r="CE25" s="62">
        <f t="shared" si="40"/>
        <v>270.42872405271851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49.622000437072252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10</v>
      </c>
      <c r="CT25" s="13">
        <f>IF('Données projet'!$A$140&gt;35,CT24+CS25-DB24,IF(A25&lt;'Données projet'!$A$140,$CQ$205^A25,IF(A25='Données projet'!$A$140,'Données projet'!$B$140,CT24+CS25-DB24)))</f>
        <v>77</v>
      </c>
      <c r="CU25" s="18">
        <f>CT25*VLOOKUP('Données projet'!$B$13,Paramètres!$A$1:$I$89,3,0)*VLOOKUP('Données projet'!$B$13,Paramètres!$A$1:$I$89,5,0)</f>
        <v>67.267200000000003</v>
      </c>
      <c r="CV25" s="14">
        <f t="shared" si="41"/>
        <v>18.993242158132926</v>
      </c>
      <c r="CW25" s="22">
        <f t="shared" si="13"/>
        <v>150.23693675874819</v>
      </c>
      <c r="CX25" s="62">
        <f t="shared" si="14"/>
        <v>359.07316058356867</v>
      </c>
      <c r="CY25" s="62">
        <f ca="1">AVERAGE(OFFSET($CX$3,0,0,'Données projet'!$E$13+1,1))-AVERAGE(OFFSET($H$3,0,0,'Données projet'!$E$13+1,1))</f>
        <v>310.81258463659196</v>
      </c>
      <c r="CZ25" s="62">
        <f t="shared" si="42"/>
        <v>287.31099756692083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49.622000437072252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4.7435897435897427</v>
      </c>
      <c r="DO25" s="13">
        <f>IF('Données projet'!$A$166&gt;35,DO24+DN25-DW24,IF(A25&lt;'Données projet'!$A$166,$DL$205^A25,IF(A25='Données projet'!$A$166,'Données projet'!$B$166,DO24+DN25-DW24)))</f>
        <v>46.025641025641029</v>
      </c>
      <c r="DP25" s="18">
        <f>DO25*VLOOKUP('Données projet'!$B$14,Paramètres!$A$1:$I$89,3,0)*VLOOKUP('Données projet'!$B$14,Paramètres!$A$1:$I$89,5,0)</f>
        <v>48.106000000000009</v>
      </c>
      <c r="DQ25" s="14">
        <f t="shared" si="43"/>
        <v>14.123532039098192</v>
      </c>
      <c r="DR25" s="22">
        <f t="shared" si="16"/>
        <v>108.3831016347627</v>
      </c>
      <c r="DS25" s="62">
        <f t="shared" si="17"/>
        <v>317.21932545958322</v>
      </c>
      <c r="DT25" s="62">
        <f ca="1">AVERAGE(OFFSET($DS$3,0,0,'Données projet'!$E$14+1,1))-AVERAGE(OFFSET($H$3,0,0,'Données projet'!$E$14+1,1))</f>
        <v>431.19274104373625</v>
      </c>
      <c r="DU25" s="62">
        <f t="shared" si="44"/>
        <v>264.67919175178133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49.622000437072252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3.4425641025641025</v>
      </c>
      <c r="EJ25" s="13">
        <f>IF('Données projet'!$A$192&gt;35,EJ24+EI25-ER24,IF(A25&lt;'Données projet'!$A$192,$EG$205^A25,IF(A25='Données projet'!$A$192,'Données projet'!$B$192,EJ24+EI25-ER24)))</f>
        <v>29.987188275534368</v>
      </c>
      <c r="EK25" s="18">
        <f>EJ25*VLOOKUP('Données projet'!$B$15,Paramètres!$A$1:$I$89,3,0)*VLOOKUP('Données projet'!$B$15,Paramètres!$A$1:$I$89,5,0)</f>
        <v>14.034004112950084</v>
      </c>
      <c r="EL25" s="14">
        <f t="shared" si="45"/>
        <v>4.7555606647394173</v>
      </c>
      <c r="EM25" s="22">
        <f t="shared" si="19"/>
        <v>32.725158654475884</v>
      </c>
      <c r="EN25" s="62">
        <f t="shared" si="20"/>
        <v>241.56138247929638</v>
      </c>
      <c r="EO25" s="62">
        <f ca="1">AVERAGE(OFFSET($EN$3,0,0,'Données projet'!$E$15+1,1))-AVERAGE(OFFSET($H$3,0,0,'Données projet'!$E$15+1,1))</f>
        <v>291.68530745507815</v>
      </c>
      <c r="EP25" s="62">
        <f t="shared" si="46"/>
        <v>175.95121106728979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49.622000437072252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6.6</v>
      </c>
      <c r="FE25" s="13">
        <f>IF('Données projet'!$A$218&gt;35,FE24+FD25-FM24,IF(A25&lt;'Données projet'!$A$218,$FB$205^A25,IF(A25='Données projet'!$A$218,'Données projet'!$B$218,FE24+FD25-FM24)))</f>
        <v>84.199999999999989</v>
      </c>
      <c r="FF25" s="18">
        <f>FE25*VLOOKUP('Données projet'!$B$16,Paramètres!$A$1:$I$89,3,0)*VLOOKUP('Données projet'!$B$16,Paramètres!$A$1:$I$89,5,0)</f>
        <v>55.167839999999998</v>
      </c>
      <c r="FG25" s="14">
        <f t="shared" si="47"/>
        <v>15.940641583495875</v>
      </c>
      <c r="FH25" s="22">
        <f t="shared" si="22"/>
        <v>123.84727209125531</v>
      </c>
      <c r="FI25" s="62">
        <f t="shared" si="23"/>
        <v>332.6834959160758</v>
      </c>
      <c r="FJ25" s="62">
        <f ca="1">AVERAGE(OFFSET($FI$3,0,0,'Données projet'!$E$16+1,1))-AVERAGE(OFFSET($H$3,0,0,'Données projet'!$E$16+1,1))</f>
        <v>248.75689726928428</v>
      </c>
      <c r="FK25" s="62">
        <f t="shared" si="48"/>
        <v>232.02291680388336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projet'!$B$16,Paramètres!$A$1:$I$89,3,0)*0.475*44/12</f>
        <v>0</v>
      </c>
      <c r="FR25" s="23">
        <f>EXP(-LN(2)/25)*FR24+(1-EXP(-LN(2)/25))/(LN(2)/25)*Calculateur!FM25*Calculateur!FO25*VLOOKUP('Données projet'!$B$16,Paramètres!$A$1:$I$89,3,0)*0.475*44/12</f>
        <v>0</v>
      </c>
      <c r="FS25" s="23">
        <f>EXP(-LN(2)/2)*FS24+(1-EXP(-LN(2)/2))/(LN(2)/2)*FM25*FP25*VLOOKUP('Données projet'!$B$16,Paramètres!$A$1:$I$89,3,0)*0.475*44/12</f>
        <v>0</v>
      </c>
      <c r="FT25" s="24">
        <f t="shared" si="24"/>
        <v>0</v>
      </c>
      <c r="FU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49.622000437072252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5</v>
      </c>
      <c r="FZ25" s="13">
        <f>IF('Données projet'!$A$244&gt;35,FZ24+FY25-GH24,IF(A25&lt;'Données projet'!$A$244,$FW$205^A25,IF(A25='Données projet'!$A$244,'Données projet'!$B$244,FZ24+FY25-GH24)))</f>
        <v>43.617270482411442</v>
      </c>
      <c r="GA25" s="18">
        <f>FZ25*VLOOKUP('Données projet'!$B$17,Paramètres!$A$1:$I$89,3,0)*VLOOKUP('Données projet'!$B$17,Paramètres!$A$1:$I$89,5,0)</f>
        <v>26.083127748482042</v>
      </c>
      <c r="GB25" s="14">
        <f t="shared" si="49"/>
        <v>8.2233252506862602</v>
      </c>
      <c r="GC25" s="22">
        <f t="shared" si="25"/>
        <v>59.750405640218126</v>
      </c>
      <c r="GD25" s="62">
        <f t="shared" si="26"/>
        <v>268.58662946503864</v>
      </c>
      <c r="GE25" s="62">
        <f ca="1">AVERAGE(OFFSET($GD$3,0,0,'Données projet'!$E$17+1,1))-AVERAGE(OFFSET($H$3,0,0,'Données projet'!$E$17+1,1))</f>
        <v>315.909549580511</v>
      </c>
      <c r="GF25" s="62">
        <f t="shared" si="50"/>
        <v>208.56856525402051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>
        <f>EXP(-LN(2)/35)*GL24+(1-EXP(-LN(2)/35))/(LN(2)/35)*GH25*GI25*VLOOKUP('Données projet'!$B$17,Paramètres!$A$1:$I$89,3,0)*0.475*44/12</f>
        <v>0</v>
      </c>
      <c r="GM25" s="23">
        <f>EXP(-LN(2)/25)*GM24+(1-EXP(-LN(2)/25))/(LN(2)/25)*Calculateur!GH25*Calculateur!GJ25*VLOOKUP('Données projet'!$B$17,Paramètres!$A$1:$I$89,3,0)*0.475*44/12</f>
        <v>0</v>
      </c>
      <c r="GN25" s="23">
        <f>EXP(-LN(2)/2)*GN24+(1-EXP(-LN(2)/2))/(LN(2)/2)*GH25*GK25*VLOOKUP('Données projet'!$B$17,Paramètres!$A$1:$I$89,3,0)*0.475*44/12</f>
        <v>0</v>
      </c>
      <c r="GO25" s="23">
        <f t="shared" si="27"/>
        <v>0</v>
      </c>
      <c r="GP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49.622000437072252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5.1282051282051269</v>
      </c>
      <c r="GU25" s="13">
        <f>IF('Données projet'!$A$270&gt;35,GU24+GT25-HC24,IF(A25&lt;'Données projet'!$A$270,$GR$205^A25,IF(A25='Données projet'!$A$270,'Données projet'!$B$270,GU24+GT25-HC24)))</f>
        <v>42.948717948717942</v>
      </c>
      <c r="GV25" s="18">
        <f>GU25*VLOOKUP('Données projet'!$B$18,Paramètres!$A$1:$I$89,3,0)*VLOOKUP('Données projet'!$B$18,Paramètres!$A$1:$I$89,5,0)</f>
        <v>28.81</v>
      </c>
      <c r="GW25" s="14">
        <f t="shared" si="51"/>
        <v>8.9785144902494043</v>
      </c>
      <c r="GX25" s="22">
        <f t="shared" si="28"/>
        <v>65.814996070517722</v>
      </c>
      <c r="GY25" s="62">
        <f t="shared" si="29"/>
        <v>274.65121989533822</v>
      </c>
      <c r="GZ25" s="62">
        <f ca="1">AVERAGE(OFFSET($GY$3,0,0,'Données projet'!$E$18+1,1))-AVERAGE(OFFSET($H$3,0,0,'Données projet'!$E$18+1,1))</f>
        <v>254.35742752782755</v>
      </c>
      <c r="HA25" s="62">
        <f t="shared" si="52"/>
        <v>171.79611712137395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>
        <f>EXP(-LN(2)/35)*HG24+(1-EXP(-LN(2)/35))/(LN(2)/35)*HC25*HD25*VLOOKUP('Données projet'!$B$18,Paramètres!$A$1:$I$89,3,0)*0.475*44/12</f>
        <v>0</v>
      </c>
      <c r="HH25" s="23">
        <f>EXP(-LN(2)/25)*HH24+(1-EXP(-LN(2)/25))/(LN(2)/25)*Calculateur!HC25*Calculateur!HE25*VLOOKUP('Données projet'!$B$18,Paramètres!$A$1:$I$89,3,0)*0.475*44/12</f>
        <v>0</v>
      </c>
      <c r="HI25" s="23">
        <f>EXP(-LN(2)/2)*HI24+(1-EXP(-LN(2)/2))/(LN(2)/2)*HC25*HF25*VLOOKUP('Données projet'!$B$18,Paramètres!$A$1:$I$89,3,0)*0.475*44/12</f>
        <v>0</v>
      </c>
      <c r="HJ25" s="24">
        <f t="shared" si="30"/>
        <v>0</v>
      </c>
    </row>
    <row r="26" spans="1:218" s="5" customFormat="1" x14ac:dyDescent="0.3">
      <c r="A26" s="11">
        <f t="shared" si="31"/>
        <v>23</v>
      </c>
      <c r="B26" s="76">
        <f>'Scénario référence'!$B$16*5+'Scénario référence'!$B$17*0+'Scénario référence'!$B$18*5</f>
        <v>3.9405000000000001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14.448500000000001</v>
      </c>
      <c r="H26" s="69">
        <f t="shared" si="1"/>
        <v>161.30656666666667</v>
      </c>
      <c r="I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49.975513171107167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4.4723076923076919</v>
      </c>
      <c r="N26" s="14">
        <f>IF('Données projet'!$A$36&gt;35,N25+M26-V25,IF(A26&lt;'Données projet'!$A$36,$K$205^A26,IF(A26='Données projet'!$A$36,'Données projet'!$B$36,N25+M26-V25)))</f>
        <v>49.593846153846151</v>
      </c>
      <c r="O26" s="14">
        <f>N26*VLOOKUP('Données projet'!$B$9,Paramètres!$A$1:$I$89,3,0)*VLOOKUP('Données projet'!$B$9,Paramètres!$A$1:$I$89,5,0)</f>
        <v>29.0124</v>
      </c>
      <c r="P26" s="14">
        <f t="shared" si="33"/>
        <v>9.0342266890744032</v>
      </c>
      <c r="Q26" s="22">
        <f t="shared" si="2"/>
        <v>66.264541483471248</v>
      </c>
      <c r="R26" s="62">
        <f t="shared" si="0"/>
        <v>277.61920088864201</v>
      </c>
      <c r="S26" s="62">
        <f ca="1">AVERAGE(OFFSET($R$3,0,0,'Données projet'!$E$9+1,1))-AVERAGE(OFFSET($H$3,0,0,'Données projet'!$E$9+1,1))</f>
        <v>210.54472399593521</v>
      </c>
      <c r="T26" s="62">
        <f t="shared" si="34"/>
        <v>181.14158435194193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49.975513171107167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4.74</v>
      </c>
      <c r="AI26" s="14">
        <f>IF('Données projet'!$A$62&gt;35,AI25+AH26-AQ25,IF(A26&lt;'Données projet'!$A$62,$AF$205^A26,IF(A26='Données projet'!$A$62,'Données projet'!$B$62,AI25+AH26-AQ25)))</f>
        <v>99.92</v>
      </c>
      <c r="AJ26" s="14">
        <f>AI26*VLOOKUP('Données projet'!$B$10,Paramètres!$A$1:$I$89,3,0)*VLOOKUP('Données projet'!$B$10,Paramètres!$A$1:$I$89,5,0)</f>
        <v>51.958400000000005</v>
      </c>
      <c r="AK26" s="14">
        <f t="shared" si="35"/>
        <v>15.118388537073713</v>
      </c>
      <c r="AL26" s="22">
        <f t="shared" si="4"/>
        <v>116.82540670207005</v>
      </c>
      <c r="AM26" s="62">
        <f t="shared" si="5"/>
        <v>328.1800661072408</v>
      </c>
      <c r="AN26" s="62">
        <f ca="1">AVERAGE(OFFSET($AM$3,0,0,'Données projet'!$E$10+1,1))-AVERAGE(OFFSET($H$3,0,0,'Données projet'!$E$10+1,1))</f>
        <v>289.05608923588198</v>
      </c>
      <c r="AO26" s="62">
        <f t="shared" si="36"/>
        <v>220.06639020312738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49.975513171107167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1.9887500000000009</v>
      </c>
      <c r="BD26" s="13">
        <f>IF('Données projet'!$A$88&gt;35,BD25+BC26-BL25,IF(A26&lt;'Données projet'!$A$88,$BA$205^A26,IF(A26='Données projet'!$A$88,'Données projet'!$B$88,BD25+BC26-BL25)))</f>
        <v>40.866250000000015</v>
      </c>
      <c r="BE26" s="14">
        <f>BD26*VLOOKUP('Données projet'!$B$11,Paramètres!$A$1:$I$89,3,0)*VLOOKUP('Données projet'!$B$11,Paramètres!$A$1:$I$89,5,0)</f>
        <v>47.077920000000013</v>
      </c>
      <c r="BF26" s="14">
        <f t="shared" si="37"/>
        <v>13.856495389760431</v>
      </c>
      <c r="BG26" s="22">
        <f t="shared" si="7"/>
        <v>106.1274401371661</v>
      </c>
      <c r="BH26" s="62">
        <f t="shared" si="8"/>
        <v>317.48209954233687</v>
      </c>
      <c r="BI26" s="62">
        <f ca="1">AVERAGE(OFFSET($BH$3,0,0,'Données projet'!$E$11+1,1))-AVERAGE(OFFSET($H$3,0,0,'Données projet'!$E$11+1,1))</f>
        <v>299.54950406029354</v>
      </c>
      <c r="BJ26" s="62">
        <f t="shared" si="38"/>
        <v>208.26364698165739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49.975513171107167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4.7435897435897427</v>
      </c>
      <c r="BY26" s="13">
        <f>IF('Données projet'!$A$114&gt;35,BY25+BX26-CG25,IF(A26&lt;'Données projet'!$A$114,$BV$205^A26,IF(A26='Données projet'!$A$114,'Données projet'!$B$114,BY25+BX26-CG25)))</f>
        <v>50.769230769230774</v>
      </c>
      <c r="BZ26" s="14">
        <f>BY26*VLOOKUP('Données projet'!$B$12,Paramètres!$A$1:$I$89,3,0)*VLOOKUP('Données projet'!$B$12,Paramètres!$A$1:$I$89,5,0)</f>
        <v>54.648000000000003</v>
      </c>
      <c r="CA26" s="14">
        <f t="shared" si="39"/>
        <v>15.807845837266502</v>
      </c>
      <c r="CB26" s="22">
        <f t="shared" si="10"/>
        <v>122.7105981665725</v>
      </c>
      <c r="CC26" s="62">
        <f t="shared" si="11"/>
        <v>334.06525757174325</v>
      </c>
      <c r="CD26" s="62">
        <f ca="1">AVERAGE(OFFSET($CC$3,0,0,'Données projet'!$E$12+1,1))-AVERAGE(OFFSET($H$3,0,0,'Données projet'!$E$12+1,1))</f>
        <v>441.30518831297212</v>
      </c>
      <c r="CE26" s="62">
        <f t="shared" si="40"/>
        <v>270.42872405271851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49.975513171107167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10</v>
      </c>
      <c r="CT26" s="13">
        <f>IF('Données projet'!$A$140&gt;35,CT25+CS26-DB25,IF(A26&lt;'Données projet'!$A$140,$CQ$205^A26,IF(A26='Données projet'!$A$140,'Données projet'!$B$140,CT25+CS26-DB25)))</f>
        <v>87</v>
      </c>
      <c r="CU26" s="18">
        <f>CT26*VLOOKUP('Données projet'!$B$13,Paramètres!$A$1:$I$89,3,0)*VLOOKUP('Données projet'!$B$13,Paramètres!$A$1:$I$89,5,0)</f>
        <v>76.003200000000007</v>
      </c>
      <c r="CV26" s="14">
        <f t="shared" si="41"/>
        <v>21.157049992000456</v>
      </c>
      <c r="CW26" s="22">
        <f t="shared" si="13"/>
        <v>169.22076873606747</v>
      </c>
      <c r="CX26" s="62">
        <f t="shared" si="14"/>
        <v>380.57542814123821</v>
      </c>
      <c r="CY26" s="62">
        <f ca="1">AVERAGE(OFFSET($CX$3,0,0,'Données projet'!$E$13+1,1))-AVERAGE(OFFSET($H$3,0,0,'Données projet'!$E$13+1,1))</f>
        <v>310.81258463659196</v>
      </c>
      <c r="CZ26" s="62">
        <f t="shared" si="42"/>
        <v>287.31099756692083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49.975513171107167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4.7435897435897427</v>
      </c>
      <c r="DO26" s="13">
        <f>IF('Données projet'!$A$166&gt;35,DO25+DN26-DW25,IF(A26&lt;'Données projet'!$A$166,$DL$205^A26,IF(A26='Données projet'!$A$166,'Données projet'!$B$166,DO25+DN26-DW25)))</f>
        <v>50.769230769230774</v>
      </c>
      <c r="DP26" s="18">
        <f>DO26*VLOOKUP('Données projet'!$B$14,Paramètres!$A$1:$I$89,3,0)*VLOOKUP('Données projet'!$B$14,Paramètres!$A$1:$I$89,5,0)</f>
        <v>53.064000000000007</v>
      </c>
      <c r="DQ26" s="14">
        <f t="shared" si="43"/>
        <v>15.402291234172077</v>
      </c>
      <c r="DR26" s="22">
        <f t="shared" si="16"/>
        <v>119.24545723284972</v>
      </c>
      <c r="DS26" s="62">
        <f t="shared" si="17"/>
        <v>330.60011663802044</v>
      </c>
      <c r="DT26" s="62">
        <f ca="1">AVERAGE(OFFSET($DS$3,0,0,'Données projet'!$E$14+1,1))-AVERAGE(OFFSET($H$3,0,0,'Données projet'!$E$14+1,1))</f>
        <v>431.19274104373625</v>
      </c>
      <c r="DU26" s="62">
        <f t="shared" si="44"/>
        <v>264.67919175178133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49.975513171107167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3.4425641025641025</v>
      </c>
      <c r="EJ26" s="13">
        <f>IF('Données projet'!$A$192&gt;35,EJ25+EI26-ER25,IF(A26&lt;'Données projet'!$A$192,$EG$205^A26,IF(A26='Données projet'!$A$192,'Données projet'!$B$192,EJ25+EI26-ER25)))</f>
        <v>35.000092281482424</v>
      </c>
      <c r="EK26" s="18">
        <f>EJ26*VLOOKUP('Données projet'!$B$15,Paramètres!$A$1:$I$89,3,0)*VLOOKUP('Données projet'!$B$15,Paramètres!$A$1:$I$89,5,0)</f>
        <v>16.380043187733772</v>
      </c>
      <c r="EL26" s="14">
        <f t="shared" si="45"/>
        <v>5.4515605034859353</v>
      </c>
      <c r="EM26" s="22">
        <f t="shared" si="19"/>
        <v>38.023376428874322</v>
      </c>
      <c r="EN26" s="62">
        <f t="shared" si="20"/>
        <v>249.37803583404505</v>
      </c>
      <c r="EO26" s="62">
        <f ca="1">AVERAGE(OFFSET($EN$3,0,0,'Données projet'!$E$15+1,1))-AVERAGE(OFFSET($H$3,0,0,'Données projet'!$E$15+1,1))</f>
        <v>291.68530745507815</v>
      </c>
      <c r="EP26" s="62">
        <f t="shared" si="46"/>
        <v>175.95121106728979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49.975513171107167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6.6</v>
      </c>
      <c r="FE26" s="13">
        <f>IF('Données projet'!$A$218&gt;35,FE25+FD26-FM25,IF(A26&lt;'Données projet'!$A$218,$FB$205^A26,IF(A26='Données projet'!$A$218,'Données projet'!$B$218,FE25+FD26-FM25)))</f>
        <v>90.799999999999983</v>
      </c>
      <c r="FF26" s="18">
        <f>FE26*VLOOKUP('Données projet'!$B$16,Paramètres!$A$1:$I$89,3,0)*VLOOKUP('Données projet'!$B$16,Paramètres!$A$1:$I$89,5,0)</f>
        <v>59.492159999999984</v>
      </c>
      <c r="FG26" s="14">
        <f t="shared" si="47"/>
        <v>17.039807677491442</v>
      </c>
      <c r="FH26" s="22">
        <f t="shared" si="22"/>
        <v>133.29317703829756</v>
      </c>
      <c r="FI26" s="62">
        <f t="shared" si="23"/>
        <v>344.64783644346829</v>
      </c>
      <c r="FJ26" s="62">
        <f ca="1">AVERAGE(OFFSET($FI$3,0,0,'Données projet'!$E$16+1,1))-AVERAGE(OFFSET($H$3,0,0,'Données projet'!$E$16+1,1))</f>
        <v>248.75689726928428</v>
      </c>
      <c r="FK26" s="62">
        <f t="shared" si="48"/>
        <v>232.02291680388336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projet'!$B$16,Paramètres!$A$1:$I$89,3,0)*0.475*44/12</f>
        <v>0</v>
      </c>
      <c r="FR26" s="23">
        <f>EXP(-LN(2)/25)*FR25+(1-EXP(-LN(2)/25))/(LN(2)/25)*Calculateur!FM26*Calculateur!FO26*VLOOKUP('Données projet'!$B$16,Paramètres!$A$1:$I$89,3,0)*0.475*44/12</f>
        <v>0</v>
      </c>
      <c r="FS26" s="23">
        <f>EXP(-LN(2)/2)*FS25+(1-EXP(-LN(2)/2))/(LN(2)/2)*FM26*FP26*VLOOKUP('Données projet'!$B$16,Paramètres!$A$1:$I$89,3,0)*0.475*44/12</f>
        <v>0</v>
      </c>
      <c r="FT26" s="24">
        <f t="shared" si="24"/>
        <v>0</v>
      </c>
      <c r="FU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49.975513171107167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5</v>
      </c>
      <c r="FZ26" s="13">
        <f>IF('Données projet'!$A$244&gt;35,FZ25+FY26-GH25,IF(A26&lt;'Données projet'!$A$244,$FW$205^A26,IF(A26='Données projet'!$A$244,'Données projet'!$B$244,FZ25+FY26-GH25)))</f>
        <v>51.783144070445161</v>
      </c>
      <c r="GA26" s="18">
        <f>FZ26*VLOOKUP('Données projet'!$B$17,Paramètres!$A$1:$I$89,3,0)*VLOOKUP('Données projet'!$B$17,Paramètres!$A$1:$I$89,5,0)</f>
        <v>30.966320154126205</v>
      </c>
      <c r="GB26" s="14">
        <f t="shared" si="49"/>
        <v>9.5697835510807412</v>
      </c>
      <c r="GC26" s="22">
        <f t="shared" si="25"/>
        <v>70.600380619902097</v>
      </c>
      <c r="GD26" s="62">
        <f t="shared" si="26"/>
        <v>281.95504002507283</v>
      </c>
      <c r="GE26" s="62">
        <f ca="1">AVERAGE(OFFSET($GD$3,0,0,'Données projet'!$E$17+1,1))-AVERAGE(OFFSET($H$3,0,0,'Données projet'!$E$17+1,1))</f>
        <v>315.909549580511</v>
      </c>
      <c r="GF26" s="62">
        <f t="shared" si="50"/>
        <v>208.56856525402051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projet'!$B$17,Paramètres!$A$1:$I$89,3,0)*0.475*44/12</f>
        <v>0</v>
      </c>
      <c r="GM26" s="23">
        <f>EXP(-LN(2)/25)*GM25+(1-EXP(-LN(2)/25))/(LN(2)/25)*Calculateur!GH26*Calculateur!GJ26*VLOOKUP('Données projet'!$B$17,Paramètres!$A$1:$I$89,3,0)*0.475*44/12</f>
        <v>0</v>
      </c>
      <c r="GN26" s="23">
        <f>EXP(-LN(2)/2)*GN25+(1-EXP(-LN(2)/2))/(LN(2)/2)*GH26*GK26*VLOOKUP('Données projet'!$B$17,Paramètres!$A$1:$I$89,3,0)*0.475*44/12</f>
        <v>0</v>
      </c>
      <c r="GO26" s="23">
        <f t="shared" si="27"/>
        <v>0</v>
      </c>
      <c r="GP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49.975513171107167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5.1282051282051269</v>
      </c>
      <c r="GU26" s="13">
        <f>IF('Données projet'!$A$270&gt;35,GU25+GT26-HC25,IF(A26&lt;'Données projet'!$A$270,$GR$205^A26,IF(A26='Données projet'!$A$270,'Données projet'!$B$270,GU25+GT26-HC25)))</f>
        <v>48.076923076923066</v>
      </c>
      <c r="GV26" s="18">
        <f>GU26*VLOOKUP('Données projet'!$B$18,Paramètres!$A$1:$I$89,3,0)*VLOOKUP('Données projet'!$B$18,Paramètres!$A$1:$I$89,5,0)</f>
        <v>32.249999999999993</v>
      </c>
      <c r="GW26" s="14">
        <f t="shared" si="51"/>
        <v>9.9194804209870817</v>
      </c>
      <c r="GX26" s="22">
        <f t="shared" si="28"/>
        <v>73.445178399885819</v>
      </c>
      <c r="GY26" s="62">
        <f t="shared" si="29"/>
        <v>284.79983780505654</v>
      </c>
      <c r="GZ26" s="62">
        <f ca="1">AVERAGE(OFFSET($GY$3,0,0,'Données projet'!$E$18+1,1))-AVERAGE(OFFSET($H$3,0,0,'Données projet'!$E$18+1,1))</f>
        <v>254.35742752782755</v>
      </c>
      <c r="HA26" s="62">
        <f t="shared" si="52"/>
        <v>171.79611712137395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>
        <f>EXP(-LN(2)/35)*HG25+(1-EXP(-LN(2)/35))/(LN(2)/35)*HC26*HD26*VLOOKUP('Données projet'!$B$18,Paramètres!$A$1:$I$89,3,0)*0.475*44/12</f>
        <v>0</v>
      </c>
      <c r="HH26" s="23">
        <f>EXP(-LN(2)/25)*HH25+(1-EXP(-LN(2)/25))/(LN(2)/25)*Calculateur!HC26*Calculateur!HE26*VLOOKUP('Données projet'!$B$18,Paramètres!$A$1:$I$89,3,0)*0.475*44/12</f>
        <v>0</v>
      </c>
      <c r="HI26" s="23">
        <f>EXP(-LN(2)/2)*HI25+(1-EXP(-LN(2)/2))/(LN(2)/2)*HC26*HF26*VLOOKUP('Données projet'!$B$18,Paramètres!$A$1:$I$89,3,0)*0.475*44/12</f>
        <v>0</v>
      </c>
      <c r="HJ26" s="24">
        <f t="shared" si="30"/>
        <v>0</v>
      </c>
    </row>
    <row r="27" spans="1:218" s="5" customFormat="1" x14ac:dyDescent="0.3">
      <c r="A27" s="11">
        <f t="shared" si="31"/>
        <v>24</v>
      </c>
      <c r="B27" s="76">
        <f>'Scénario référence'!$B$16*5+'Scénario référence'!$B$17*0+'Scénario référence'!$B$18*5</f>
        <v>3.9405000000000001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14.448500000000001</v>
      </c>
      <c r="H27" s="69">
        <f t="shared" si="1"/>
        <v>161.30656666666667</v>
      </c>
      <c r="I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50.322893249542645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4.4723076923076919</v>
      </c>
      <c r="N27" s="14">
        <f>IF('Données projet'!$A$36&gt;35,N26+M27-V26,IF(A27&lt;'Données projet'!$A$36,$K$205^A27,IF(A27='Données projet'!$A$36,'Données projet'!$B$36,N26+M27-V26)))</f>
        <v>54.066153846153846</v>
      </c>
      <c r="O27" s="14">
        <f>N27*VLOOKUP('Données projet'!$B$9,Paramètres!$A$1:$I$89,3,0)*VLOOKUP('Données projet'!$B$9,Paramètres!$A$1:$I$89,5,0)</f>
        <v>31.628700000000002</v>
      </c>
      <c r="P27" s="14">
        <f t="shared" si="33"/>
        <v>9.7504338131068167</v>
      </c>
      <c r="Q27" s="22">
        <f t="shared" si="2"/>
        <v>72.068658057827705</v>
      </c>
      <c r="R27" s="62">
        <f t="shared" si="0"/>
        <v>285.91926663948408</v>
      </c>
      <c r="S27" s="62">
        <f ca="1">AVERAGE(OFFSET($R$3,0,0,'Données projet'!$E$9+1,1))-AVERAGE(OFFSET($H$3,0,0,'Données projet'!$E$9+1,1))</f>
        <v>210.54472399593521</v>
      </c>
      <c r="T27" s="62">
        <f t="shared" si="34"/>
        <v>181.14158435194193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50.322893249542645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4.74</v>
      </c>
      <c r="AI27" s="14">
        <f>IF('Données projet'!$A$62&gt;35,AI26+AH27-AQ26,IF(A27&lt;'Données projet'!$A$62,$AF$205^A27,IF(A27='Données projet'!$A$62,'Données projet'!$B$62,AI26+AH27-AQ26)))</f>
        <v>104.66</v>
      </c>
      <c r="AJ27" s="14">
        <f>AI27*VLOOKUP('Données projet'!$B$10,Paramètres!$A$1:$I$89,3,0)*VLOOKUP('Données projet'!$B$10,Paramètres!$A$1:$I$89,5,0)</f>
        <v>54.423200000000008</v>
      </c>
      <c r="AK27" s="14">
        <f t="shared" si="35"/>
        <v>15.750374069493635</v>
      </c>
      <c r="AL27" s="22">
        <f t="shared" si="4"/>
        <v>122.21897483770141</v>
      </c>
      <c r="AM27" s="62">
        <f t="shared" si="5"/>
        <v>336.06958341935774</v>
      </c>
      <c r="AN27" s="62">
        <f ca="1">AVERAGE(OFFSET($AM$3,0,0,'Données projet'!$E$10+1,1))-AVERAGE(OFFSET($H$3,0,0,'Données projet'!$E$10+1,1))</f>
        <v>289.05608923588198</v>
      </c>
      <c r="AO27" s="62">
        <f t="shared" si="36"/>
        <v>220.06639020312738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50.322893249542645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1.9887500000000009</v>
      </c>
      <c r="BD27" s="13">
        <f>IF('Données projet'!$A$88&gt;35,BD26+BC27-BL26,IF(A27&lt;'Données projet'!$A$88,$BA$205^A27,IF(A27='Données projet'!$A$88,'Données projet'!$B$88,BD26+BC27-BL26)))</f>
        <v>42.855000000000018</v>
      </c>
      <c r="BE27" s="14">
        <f>BD27*VLOOKUP('Données projet'!$B$11,Paramètres!$A$1:$I$89,3,0)*VLOOKUP('Données projet'!$B$11,Paramètres!$A$1:$I$89,5,0)</f>
        <v>49.368960000000015</v>
      </c>
      <c r="BF27" s="14">
        <f t="shared" si="37"/>
        <v>14.450670560048829</v>
      </c>
      <c r="BG27" s="22">
        <f t="shared" si="7"/>
        <v>111.15252322541839</v>
      </c>
      <c r="BH27" s="62">
        <f t="shared" si="8"/>
        <v>325.00313180707474</v>
      </c>
      <c r="BI27" s="62">
        <f ca="1">AVERAGE(OFFSET($BH$3,0,0,'Données projet'!$E$11+1,1))-AVERAGE(OFFSET($H$3,0,0,'Données projet'!$E$11+1,1))</f>
        <v>299.54950406029354</v>
      </c>
      <c r="BJ27" s="62">
        <f t="shared" si="38"/>
        <v>208.26364698165739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50.322893249542645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4.7435897435897427</v>
      </c>
      <c r="BY27" s="13">
        <f>IF('Données projet'!$A$114&gt;35,BY26+BX27-CG26,IF(A27&lt;'Données projet'!$A$114,$BV$205^A27,IF(A27='Données projet'!$A$114,'Données projet'!$B$114,BY26+BX27-CG26)))</f>
        <v>55.512820512820518</v>
      </c>
      <c r="BZ27" s="14">
        <f>BY27*VLOOKUP('Données projet'!$B$12,Paramètres!$A$1:$I$89,3,0)*VLOOKUP('Données projet'!$B$12,Paramètres!$A$1:$I$89,5,0)</f>
        <v>59.753999999999998</v>
      </c>
      <c r="CA27" s="14">
        <f t="shared" si="39"/>
        <v>17.106057630223042</v>
      </c>
      <c r="CB27" s="22">
        <f t="shared" si="10"/>
        <v>133.86460037263845</v>
      </c>
      <c r="CC27" s="62">
        <f t="shared" si="11"/>
        <v>347.71520895429478</v>
      </c>
      <c r="CD27" s="62">
        <f ca="1">AVERAGE(OFFSET($CC$3,0,0,'Données projet'!$E$12+1,1))-AVERAGE(OFFSET($H$3,0,0,'Données projet'!$E$12+1,1))</f>
        <v>441.30518831297212</v>
      </c>
      <c r="CE27" s="62">
        <f t="shared" si="40"/>
        <v>270.42872405271851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50.322893249542645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10</v>
      </c>
      <c r="CT27" s="13">
        <f>IF('Données projet'!$A$140&gt;35,CT26+CS27-DB26,IF(A27&lt;'Données projet'!$A$140,$CQ$205^A27,IF(A27='Données projet'!$A$140,'Données projet'!$B$140,CT26+CS27-DB26)))</f>
        <v>97</v>
      </c>
      <c r="CU27" s="18">
        <f>CT27*VLOOKUP('Données projet'!$B$13,Paramètres!$A$1:$I$89,3,0)*VLOOKUP('Données projet'!$B$13,Paramètres!$A$1:$I$89,5,0)</f>
        <v>84.739200000000011</v>
      </c>
      <c r="CV27" s="14">
        <f t="shared" si="41"/>
        <v>23.292033444816514</v>
      </c>
      <c r="CW27" s="22">
        <f t="shared" si="13"/>
        <v>188.15439824972211</v>
      </c>
      <c r="CX27" s="62">
        <f t="shared" si="14"/>
        <v>402.00500683137847</v>
      </c>
      <c r="CY27" s="62">
        <f ca="1">AVERAGE(OFFSET($CX$3,0,0,'Données projet'!$E$13+1,1))-AVERAGE(OFFSET($H$3,0,0,'Données projet'!$E$13+1,1))</f>
        <v>310.81258463659196</v>
      </c>
      <c r="CZ27" s="62">
        <f t="shared" si="42"/>
        <v>287.31099756692083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50.322893249542645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4.7435897435897427</v>
      </c>
      <c r="DO27" s="13">
        <f>IF('Données projet'!$A$166&gt;35,DO26+DN27-DW26,IF(A27&lt;'Données projet'!$A$166,$DL$205^A27,IF(A27='Données projet'!$A$166,'Données projet'!$B$166,DO26+DN27-DW26)))</f>
        <v>55.512820512820518</v>
      </c>
      <c r="DP27" s="18">
        <f>DO27*VLOOKUP('Données projet'!$B$14,Paramètres!$A$1:$I$89,3,0)*VLOOKUP('Données projet'!$B$14,Paramètres!$A$1:$I$89,5,0)</f>
        <v>58.022000000000006</v>
      </c>
      <c r="DQ27" s="14">
        <f t="shared" si="43"/>
        <v>16.667197048955192</v>
      </c>
      <c r="DR27" s="22">
        <f t="shared" si="16"/>
        <v>130.08368486026362</v>
      </c>
      <c r="DS27" s="62">
        <f t="shared" si="17"/>
        <v>343.93429344191998</v>
      </c>
      <c r="DT27" s="62">
        <f ca="1">AVERAGE(OFFSET($DS$3,0,0,'Données projet'!$E$14+1,1))-AVERAGE(OFFSET($H$3,0,0,'Données projet'!$E$14+1,1))</f>
        <v>431.19274104373625</v>
      </c>
      <c r="DU27" s="62">
        <f t="shared" si="44"/>
        <v>264.67919175178133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50.322893249542645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3.4425641025641025</v>
      </c>
      <c r="EJ27" s="13">
        <f>IF('Données projet'!$A$192&gt;35,EJ26+EI27-ER26,IF(A27&lt;'Données projet'!$A$192,$EG$205^A27,IF(A27='Données projet'!$A$192,'Données projet'!$B$192,EJ26+EI27-ER26)))</f>
        <v>40.850994379880916</v>
      </c>
      <c r="EK27" s="18">
        <f>EJ27*VLOOKUP('Données projet'!$B$15,Paramètres!$A$1:$I$89,3,0)*VLOOKUP('Données projet'!$B$15,Paramètres!$A$1:$I$89,5,0)</f>
        <v>19.118265369784268</v>
      </c>
      <c r="EL27" s="14">
        <f t="shared" si="45"/>
        <v>6.2494233631643379</v>
      </c>
      <c r="EM27" s="22">
        <f t="shared" si="19"/>
        <v>44.182057876552157</v>
      </c>
      <c r="EN27" s="62">
        <f t="shared" si="20"/>
        <v>258.0326664582085</v>
      </c>
      <c r="EO27" s="62">
        <f ca="1">AVERAGE(OFFSET($EN$3,0,0,'Données projet'!$E$15+1,1))-AVERAGE(OFFSET($H$3,0,0,'Données projet'!$E$15+1,1))</f>
        <v>291.68530745507815</v>
      </c>
      <c r="EP27" s="62">
        <f t="shared" si="46"/>
        <v>175.95121106728979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50.322893249542645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6.6</v>
      </c>
      <c r="FE27" s="13">
        <f>IF('Données projet'!$A$218&gt;35,FE26+FD27-FM26,IF(A27&lt;'Données projet'!$A$218,$FB$205^A27,IF(A27='Données projet'!$A$218,'Données projet'!$B$218,FE26+FD27-FM26)))</f>
        <v>97.399999999999977</v>
      </c>
      <c r="FF27" s="18">
        <f>FE27*VLOOKUP('Données projet'!$B$16,Paramètres!$A$1:$I$89,3,0)*VLOOKUP('Données projet'!$B$16,Paramètres!$A$1:$I$89,5,0)</f>
        <v>63.816479999999984</v>
      </c>
      <c r="FG27" s="14">
        <f t="shared" si="47"/>
        <v>18.129704574147006</v>
      </c>
      <c r="FH27" s="22">
        <f t="shared" si="22"/>
        <v>142.722938133306</v>
      </c>
      <c r="FI27" s="62">
        <f t="shared" si="23"/>
        <v>356.57354671496239</v>
      </c>
      <c r="FJ27" s="62">
        <f ca="1">AVERAGE(OFFSET($FI$3,0,0,'Données projet'!$E$16+1,1))-AVERAGE(OFFSET($H$3,0,0,'Données projet'!$E$16+1,1))</f>
        <v>248.75689726928428</v>
      </c>
      <c r="FK27" s="62">
        <f t="shared" si="48"/>
        <v>232.02291680388336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projet'!$B$16,Paramètres!$A$1:$I$89,3,0)*0.475*44/12</f>
        <v>0</v>
      </c>
      <c r="FR27" s="23">
        <f>EXP(-LN(2)/25)*FR26+(1-EXP(-LN(2)/25))/(LN(2)/25)*Calculateur!FM27*Calculateur!FO27*VLOOKUP('Données projet'!$B$16,Paramètres!$A$1:$I$89,3,0)*0.475*44/12</f>
        <v>0</v>
      </c>
      <c r="FS27" s="23">
        <f>EXP(-LN(2)/2)*FS26+(1-EXP(-LN(2)/2))/(LN(2)/2)*FM27*FP27*VLOOKUP('Données projet'!$B$16,Paramètres!$A$1:$I$89,3,0)*0.475*44/12</f>
        <v>0</v>
      </c>
      <c r="FT27" s="24">
        <f t="shared" si="24"/>
        <v>0</v>
      </c>
      <c r="FU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50.322893249542645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5</v>
      </c>
      <c r="FZ27" s="13">
        <f>IF('Données projet'!$A$244&gt;35,FZ26+FY27-GH26,IF(A27&lt;'Données projet'!$A$244,$FW$205^A27,IF(A27='Données projet'!$A$244,'Données projet'!$B$244,FZ26+FY27-GH26)))</f>
        <v>61.477804093719847</v>
      </c>
      <c r="GA27" s="18">
        <f>FZ27*VLOOKUP('Données projet'!$B$17,Paramètres!$A$1:$I$89,3,0)*VLOOKUP('Données projet'!$B$17,Paramètres!$A$1:$I$89,5,0)</f>
        <v>36.76372684804447</v>
      </c>
      <c r="GB27" s="14">
        <f t="shared" si="49"/>
        <v>11.136706189128647</v>
      </c>
      <c r="GC27" s="22">
        <f t="shared" si="25"/>
        <v>83.426587539743181</v>
      </c>
      <c r="GD27" s="62">
        <f t="shared" si="26"/>
        <v>297.27719612139953</v>
      </c>
      <c r="GE27" s="62">
        <f ca="1">AVERAGE(OFFSET($GD$3,0,0,'Données projet'!$E$17+1,1))-AVERAGE(OFFSET($H$3,0,0,'Données projet'!$E$17+1,1))</f>
        <v>315.909549580511</v>
      </c>
      <c r="GF27" s="62">
        <f t="shared" si="50"/>
        <v>208.56856525402051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>
        <f>EXP(-LN(2)/35)*GL26+(1-EXP(-LN(2)/35))/(LN(2)/35)*GH27*GI27*VLOOKUP('Données projet'!$B$17,Paramètres!$A$1:$I$89,3,0)*0.475*44/12</f>
        <v>0</v>
      </c>
      <c r="GM27" s="23">
        <f>EXP(-LN(2)/25)*GM26+(1-EXP(-LN(2)/25))/(LN(2)/25)*Calculateur!GH27*Calculateur!GJ27*VLOOKUP('Données projet'!$B$17,Paramètres!$A$1:$I$89,3,0)*0.475*44/12</f>
        <v>0</v>
      </c>
      <c r="GN27" s="23">
        <f>EXP(-LN(2)/2)*GN26+(1-EXP(-LN(2)/2))/(LN(2)/2)*GH27*GK27*VLOOKUP('Données projet'!$B$17,Paramètres!$A$1:$I$89,3,0)*0.475*44/12</f>
        <v>0</v>
      </c>
      <c r="GO27" s="23">
        <f t="shared" si="27"/>
        <v>0</v>
      </c>
      <c r="GP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50.322893249542645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5.1282051282051269</v>
      </c>
      <c r="GU27" s="13">
        <f>IF('Données projet'!$A$270&gt;35,GU26+GT27-HC26,IF(A27&lt;'Données projet'!$A$270,$GR$205^A27,IF(A27='Données projet'!$A$270,'Données projet'!$B$270,GU26+GT27-HC26)))</f>
        <v>53.20512820512819</v>
      </c>
      <c r="GV27" s="18">
        <f>GU27*VLOOKUP('Données projet'!$B$18,Paramètres!$A$1:$I$89,3,0)*VLOOKUP('Données projet'!$B$18,Paramètres!$A$1:$I$89,5,0)</f>
        <v>35.689999999999991</v>
      </c>
      <c r="GW27" s="14">
        <f t="shared" si="51"/>
        <v>10.848812282424118</v>
      </c>
      <c r="GX27" s="22">
        <f t="shared" si="28"/>
        <v>81.055098058555316</v>
      </c>
      <c r="GY27" s="62">
        <f t="shared" si="29"/>
        <v>294.90570664021169</v>
      </c>
      <c r="GZ27" s="62">
        <f ca="1">AVERAGE(OFFSET($GY$3,0,0,'Données projet'!$E$18+1,1))-AVERAGE(OFFSET($H$3,0,0,'Données projet'!$E$18+1,1))</f>
        <v>254.35742752782755</v>
      </c>
      <c r="HA27" s="62">
        <f t="shared" si="52"/>
        <v>171.79611712137395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>
        <f>EXP(-LN(2)/35)*HG26+(1-EXP(-LN(2)/35))/(LN(2)/35)*HC27*HD27*VLOOKUP('Données projet'!$B$18,Paramètres!$A$1:$I$89,3,0)*0.475*44/12</f>
        <v>0</v>
      </c>
      <c r="HH27" s="23">
        <f>EXP(-LN(2)/25)*HH26+(1-EXP(-LN(2)/25))/(LN(2)/25)*Calculateur!HC27*Calculateur!HE27*VLOOKUP('Données projet'!$B$18,Paramètres!$A$1:$I$89,3,0)*0.475*44/12</f>
        <v>0</v>
      </c>
      <c r="HI27" s="23">
        <f>EXP(-LN(2)/2)*HI26+(1-EXP(-LN(2)/2))/(LN(2)/2)*HC27*HF27*VLOOKUP('Données projet'!$B$18,Paramètres!$A$1:$I$89,3,0)*0.475*44/12</f>
        <v>0</v>
      </c>
      <c r="HJ27" s="24">
        <f t="shared" si="30"/>
        <v>0</v>
      </c>
    </row>
    <row r="28" spans="1:218" s="5" customFormat="1" x14ac:dyDescent="0.3">
      <c r="A28" s="11">
        <f t="shared" si="31"/>
        <v>25</v>
      </c>
      <c r="B28" s="76">
        <f>'Scénario référence'!$B$16*5+'Scénario référence'!$B$17*0+'Scénario référence'!$B$18*5</f>
        <v>3.9405000000000001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14.448500000000001</v>
      </c>
      <c r="H28" s="69">
        <f t="shared" si="1"/>
        <v>161.30656666666667</v>
      </c>
      <c r="I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50.664247060242772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58.538461538461533</v>
      </c>
      <c r="L28" s="13">
        <f>VLOOKUP(A28,'Données projet'!$A$35:$I$55,9,0)</f>
        <v>4.4723076923076919</v>
      </c>
      <c r="M28" s="13">
        <f t="array" ref="M28">INDEX(L:L,MIN(IF(ISNUMBER(L28:L224),ROW(L28:L224),"")))</f>
        <v>4.4723076923076919</v>
      </c>
      <c r="N28" s="14">
        <f>IF('Données projet'!$A$36&gt;35,N27+M28-V27,IF(A28&lt;'Données projet'!$A$36,$K$205^A28,IF(A28='Données projet'!$A$36,'Données projet'!$B$36,N27+M28-V27)))</f>
        <v>58.53846153846154</v>
      </c>
      <c r="O28" s="14">
        <f>N28*VLOOKUP('Données projet'!$B$9,Paramètres!$A$1:$I$89,3,0)*VLOOKUP('Données projet'!$B$9,Paramètres!$A$1:$I$89,5,0)</f>
        <v>34.244999999999997</v>
      </c>
      <c r="P28" s="14">
        <f t="shared" si="33"/>
        <v>10.459769755154808</v>
      </c>
      <c r="Q28" s="22">
        <f t="shared" si="2"/>
        <v>77.860807323561289</v>
      </c>
      <c r="R28" s="62">
        <f t="shared" si="0"/>
        <v>294.18526876667363</v>
      </c>
      <c r="S28" s="62">
        <f ca="1">AVERAGE(OFFSET($R$3,0,0,'Données projet'!$E$9+1,1))-AVERAGE(OFFSET($H$3,0,0,'Données projet'!$E$9+1,1))</f>
        <v>210.54472399593521</v>
      </c>
      <c r="T28" s="62">
        <f t="shared" si="34"/>
        <v>181.14158435194193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50.664247060242772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109.4</v>
      </c>
      <c r="AG28" s="13">
        <f>VLOOKUP(A28,'Données projet'!$A$61:$I$81,9,0)</f>
        <v>4.74</v>
      </c>
      <c r="AH28" s="13">
        <f t="array" ref="AH28">INDEX(AG:AG,MIN(IF(ISNUMBER(AG28:AG224),ROW(AG28:AG224),"")))</f>
        <v>4.74</v>
      </c>
      <c r="AI28" s="14">
        <f>IF('Données projet'!$A$62&gt;35,AI27+AH28-AQ27,IF(A28&lt;'Données projet'!$A$62,$AF$205^A28,IF(A28='Données projet'!$A$62,'Données projet'!$B$62,AI27+AH28-AQ27)))</f>
        <v>109.39999999999999</v>
      </c>
      <c r="AJ28" s="14">
        <f>AI28*VLOOKUP('Données projet'!$B$10,Paramètres!$A$1:$I$89,3,0)*VLOOKUP('Données projet'!$B$10,Paramètres!$A$1:$I$89,5,0)</f>
        <v>56.887999999999998</v>
      </c>
      <c r="AK28" s="14">
        <f t="shared" si="35"/>
        <v>16.379035530880738</v>
      </c>
      <c r="AL28" s="22">
        <f t="shared" si="4"/>
        <v>127.60675354961728</v>
      </c>
      <c r="AM28" s="62">
        <f t="shared" si="5"/>
        <v>343.93121499272968</v>
      </c>
      <c r="AN28" s="62">
        <f ca="1">AVERAGE(OFFSET($AM$3,0,0,'Données projet'!$E$10+1,1))-AVERAGE(OFFSET($H$3,0,0,'Données projet'!$E$10+1,1))</f>
        <v>289.05608923588198</v>
      </c>
      <c r="AO28" s="62">
        <f t="shared" si="36"/>
        <v>220.06639020312738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50.664247060242772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1.9887500000000009</v>
      </c>
      <c r="BD28" s="13">
        <f>IF('Données projet'!$A$88&gt;35,BD27+BC28-BL27,IF(A28&lt;'Données projet'!$A$88,$BA$205^A28,IF(A28='Données projet'!$A$88,'Données projet'!$B$88,BD27+BC28-BL27)))</f>
        <v>44.843750000000021</v>
      </c>
      <c r="BE28" s="14">
        <f>BD28*VLOOKUP('Données projet'!$B$11,Paramètres!$A$1:$I$89,3,0)*VLOOKUP('Données projet'!$B$11,Paramètres!$A$1:$I$89,5,0)</f>
        <v>51.660000000000018</v>
      </c>
      <c r="BF28" s="14">
        <f t="shared" si="37"/>
        <v>15.041643604774535</v>
      </c>
      <c r="BG28" s="22">
        <f t="shared" si="7"/>
        <v>116.17202927831566</v>
      </c>
      <c r="BH28" s="62">
        <f t="shared" si="8"/>
        <v>332.49649072142802</v>
      </c>
      <c r="BI28" s="62">
        <f ca="1">AVERAGE(OFFSET($BH$3,0,0,'Données projet'!$E$11+1,1))-AVERAGE(OFFSET($H$3,0,0,'Données projet'!$E$11+1,1))</f>
        <v>299.54950406029354</v>
      </c>
      <c r="BJ28" s="62">
        <f t="shared" si="38"/>
        <v>208.26364698165739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50.664247060242772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60.256410256410255</v>
      </c>
      <c r="BW28" s="13">
        <f>VLOOKUP(A28,'Données projet'!$A$113:$I$133,9,0)</f>
        <v>4.7435897435897427</v>
      </c>
      <c r="BX28" s="13">
        <f t="array" ref="BX28">INDEX(BW:BW,MIN(IF(ISNUMBER(BW28:BW224),ROW(BW28:BW224),"")))</f>
        <v>4.7435897435897427</v>
      </c>
      <c r="BY28" s="13">
        <f>IF('Données projet'!$A$114&gt;35,BY27+BX28-CG27,IF(A28&lt;'Données projet'!$A$114,$BV$205^A28,IF(A28='Données projet'!$A$114,'Données projet'!$B$114,BY27+BX28-CG27)))</f>
        <v>60.256410256410263</v>
      </c>
      <c r="BZ28" s="14">
        <f>BY28*VLOOKUP('Données projet'!$B$12,Paramètres!$A$1:$I$89,3,0)*VLOOKUP('Données projet'!$B$12,Paramètres!$A$1:$I$89,5,0)</f>
        <v>64.860000000000014</v>
      </c>
      <c r="CA28" s="14">
        <f t="shared" si="39"/>
        <v>18.391404353016956</v>
      </c>
      <c r="CB28" s="22">
        <f t="shared" si="10"/>
        <v>144.99619591483787</v>
      </c>
      <c r="CC28" s="62">
        <f t="shared" si="11"/>
        <v>361.32065735795027</v>
      </c>
      <c r="CD28" s="62">
        <f ca="1">AVERAGE(OFFSET($CC$3,0,0,'Données projet'!$E$12+1,1))-AVERAGE(OFFSET($H$3,0,0,'Données projet'!$E$12+1,1))</f>
        <v>441.30518831297212</v>
      </c>
      <c r="CE28" s="62">
        <f t="shared" si="40"/>
        <v>270.42872405271851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50.664247060242772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107</v>
      </c>
      <c r="CR28" s="13">
        <f>VLOOKUP(A28,'Données projet'!$A$139:$I$159,9,0)</f>
        <v>10</v>
      </c>
      <c r="CS28" s="13">
        <f t="array" ref="CS28">INDEX(CR:CR,MIN(IF(ISNUMBER(CR28:CR224),ROW(CR28:CR224),"")))</f>
        <v>10</v>
      </c>
      <c r="CT28" s="13">
        <f>IF('Données projet'!$A$140&gt;35,CT27+CS28-DB27,IF(A28&lt;'Données projet'!$A$140,$CQ$205^A28,IF(A28='Données projet'!$A$140,'Données projet'!$B$140,CT27+CS28-DB27)))</f>
        <v>107</v>
      </c>
      <c r="CU28" s="18">
        <f>CT28*VLOOKUP('Données projet'!$B$13,Paramètres!$A$1:$I$89,3,0)*VLOOKUP('Données projet'!$B$13,Paramètres!$A$1:$I$89,5,0)</f>
        <v>93.475200000000015</v>
      </c>
      <c r="CV28" s="14">
        <f t="shared" si="41"/>
        <v>25.401502539965662</v>
      </c>
      <c r="CW28" s="22">
        <f t="shared" si="13"/>
        <v>207.04359025710687</v>
      </c>
      <c r="CX28" s="62">
        <f t="shared" si="14"/>
        <v>423.36805170021921</v>
      </c>
      <c r="CY28" s="62">
        <f ca="1">AVERAGE(OFFSET($CX$3,0,0,'Données projet'!$E$13+1,1))-AVERAGE(OFFSET($H$3,0,0,'Données projet'!$E$13+1,1))</f>
        <v>310.81258463659196</v>
      </c>
      <c r="CZ28" s="62">
        <f t="shared" si="42"/>
        <v>287.31099756692083</v>
      </c>
      <c r="DA28" s="16">
        <f>IF(ISNA(VLOOKUP(A28,'Données projet'!$A$139:$I$159,3,0)),0,VLOOKUP(A28,'Données projet'!$A$139:$I$159,3,0))</f>
        <v>1</v>
      </c>
      <c r="DB28" s="16">
        <f>IF(ISNA(VLOOKUP(A28,'Données projet'!$A$139:$I$159,4,0)),0,VLOOKUP(A28,'Données projet'!$A$139:$I$159,4,0))</f>
        <v>42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50.664247060242772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60.256410256410255</v>
      </c>
      <c r="DM28" s="13">
        <f>VLOOKUP(A28,'Données projet'!$A$165:$I$185,9,0)</f>
        <v>4.7435897435897427</v>
      </c>
      <c r="DN28" s="13">
        <f t="array" ref="DN28">INDEX(DM:DM,MIN(IF(ISNUMBER(DM28:DM224),ROW(DM28:DM224),"")))</f>
        <v>4.7435897435897427</v>
      </c>
      <c r="DO28" s="13">
        <f>IF('Données projet'!$A$166&gt;35,DO27+DN28-DW27,IF(A28&lt;'Données projet'!$A$166,$DL$205^A28,IF(A28='Données projet'!$A$166,'Données projet'!$B$166,DO27+DN28-DW27)))</f>
        <v>60.256410256410263</v>
      </c>
      <c r="DP28" s="18">
        <f>DO28*VLOOKUP('Données projet'!$B$14,Paramètres!$A$1:$I$89,3,0)*VLOOKUP('Données projet'!$B$14,Paramètres!$A$1:$I$89,5,0)</f>
        <v>62.980000000000011</v>
      </c>
      <c r="DQ28" s="14">
        <f t="shared" si="43"/>
        <v>17.919567850464976</v>
      </c>
      <c r="DR28" s="22">
        <f t="shared" si="16"/>
        <v>140.90008067289321</v>
      </c>
      <c r="DS28" s="62">
        <f t="shared" si="17"/>
        <v>357.22454211600558</v>
      </c>
      <c r="DT28" s="62">
        <f ca="1">AVERAGE(OFFSET($DS$3,0,0,'Données projet'!$E$14+1,1))-AVERAGE(OFFSET($H$3,0,0,'Données projet'!$E$14+1,1))</f>
        <v>431.19274104373625</v>
      </c>
      <c r="DU28" s="62">
        <f t="shared" si="44"/>
        <v>264.67919175178133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50.664247060242772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3.4425641025641025</v>
      </c>
      <c r="EJ28" s="13">
        <f>IF('Données projet'!$A$192&gt;35,EJ27+EI28-ER27,IF(A28&lt;'Données projet'!$A$192,$EG$205^A28,IF(A28='Données projet'!$A$192,'Données projet'!$B$192,EJ27+EI28-ER27)))</f>
        <v>47.679981195591871</v>
      </c>
      <c r="EK28" s="18">
        <f>EJ28*VLOOKUP('Données projet'!$B$15,Paramètres!$A$1:$I$89,3,0)*VLOOKUP('Données projet'!$B$15,Paramètres!$A$1:$I$89,5,0)</f>
        <v>22.314231199536998</v>
      </c>
      <c r="EL28" s="14">
        <f t="shared" si="45"/>
        <v>7.1640574010122027</v>
      </c>
      <c r="EM28" s="22">
        <f t="shared" si="19"/>
        <v>51.341352645956526</v>
      </c>
      <c r="EN28" s="62">
        <f t="shared" si="20"/>
        <v>267.66581408906887</v>
      </c>
      <c r="EO28" s="62">
        <f ca="1">AVERAGE(OFFSET($EN$3,0,0,'Données projet'!$E$15+1,1))-AVERAGE(OFFSET($H$3,0,0,'Données projet'!$E$15+1,1))</f>
        <v>291.68530745507815</v>
      </c>
      <c r="EP28" s="62">
        <f t="shared" si="46"/>
        <v>175.95121106728979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50.664247060242772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>
        <f>VLOOKUP(A28,'Données projet'!$A$217:$I$237,2,0)</f>
        <v>104</v>
      </c>
      <c r="FC28" s="13">
        <f>VLOOKUP(A28,'Données projet'!$A$217:$I$237,9,0)</f>
        <v>6.6</v>
      </c>
      <c r="FD28" s="13">
        <f t="array" ref="FD28">INDEX(FC:FC,MIN(IF(ISNUMBER(FC28:FC224),ROW(FC28:FC224),"")))</f>
        <v>6.6</v>
      </c>
      <c r="FE28" s="13">
        <f>IF('Données projet'!$A$218&gt;35,FE27+FD28-FM27,IF(A28&lt;'Données projet'!$A$218,$FB$205^A28,IF(A28='Données projet'!$A$218,'Données projet'!$B$218,FE27+FD28-FM27)))</f>
        <v>103.99999999999997</v>
      </c>
      <c r="FF28" s="18">
        <f>FE28*VLOOKUP('Données projet'!$B$16,Paramètres!$A$1:$I$89,3,0)*VLOOKUP('Données projet'!$B$16,Paramètres!$A$1:$I$89,5,0)</f>
        <v>68.140799999999984</v>
      </c>
      <c r="FG28" s="14">
        <f t="shared" si="47"/>
        <v>19.21103183030446</v>
      </c>
      <c r="FH28" s="22">
        <f t="shared" si="22"/>
        <v>152.13777377111359</v>
      </c>
      <c r="FI28" s="62">
        <f t="shared" si="23"/>
        <v>368.46223521422598</v>
      </c>
      <c r="FJ28" s="62">
        <f ca="1">AVERAGE(OFFSET($FI$3,0,0,'Données projet'!$E$16+1,1))-AVERAGE(OFFSET($H$3,0,0,'Données projet'!$E$16+1,1))</f>
        <v>248.75689726928428</v>
      </c>
      <c r="FK28" s="62">
        <f t="shared" si="48"/>
        <v>232.02291680388336</v>
      </c>
      <c r="FL28" s="16">
        <f>IF(ISNA(VLOOKUP(A28,'Données projet'!$A$217:$I$237,3,0)),0,VLOOKUP(A28,'Données projet'!$A$217:$I$237,3,0))</f>
        <v>1</v>
      </c>
      <c r="FM28" s="16">
        <f>IF(ISNA(VLOOKUP(A28,'Données projet'!$A$217:$I$237,4,0)),0,VLOOKUP(A28,'Données projet'!$A$217:$I$237,4,0))</f>
        <v>24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projet'!$B$16,Paramètres!$A$1:$I$89,3,0)*0.475*44/12</f>
        <v>0</v>
      </c>
      <c r="FR28" s="23">
        <f>EXP(-LN(2)/25)*FR27+(1-EXP(-LN(2)/25))/(LN(2)/25)*Calculateur!FM28*Calculateur!FO28*VLOOKUP('Données projet'!$B$16,Paramètres!$A$1:$I$89,3,0)*0.475*44/12</f>
        <v>0</v>
      </c>
      <c r="FS28" s="23">
        <f>EXP(-LN(2)/2)*FS27+(1-EXP(-LN(2)/2))/(LN(2)/2)*FM28*FP28*VLOOKUP('Données projet'!$B$16,Paramètres!$A$1:$I$89,3,0)*0.475*44/12</f>
        <v>0</v>
      </c>
      <c r="FT28" s="24">
        <f t="shared" si="24"/>
        <v>0</v>
      </c>
      <c r="FU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50.664247060242772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5</v>
      </c>
      <c r="FZ28" s="13">
        <f>IF('Données projet'!$A$244&gt;35,FZ27+FY28-GH27,IF(A28&lt;'Données projet'!$A$244,$FW$205^A28,IF(A28='Données projet'!$A$244,'Données projet'!$B$244,FZ27+FY28-GH27)))</f>
        <v>72.987464628338969</v>
      </c>
      <c r="GA28" s="18">
        <f>FZ28*VLOOKUP('Données projet'!$B$17,Paramètres!$A$1:$I$89,3,0)*VLOOKUP('Données projet'!$B$17,Paramètres!$A$1:$I$89,5,0)</f>
        <v>43.6465038477467</v>
      </c>
      <c r="GB28" s="14">
        <f t="shared" si="49"/>
        <v>12.96019121863729</v>
      </c>
      <c r="GC28" s="22">
        <f t="shared" si="25"/>
        <v>98.589993907285461</v>
      </c>
      <c r="GD28" s="62">
        <f t="shared" si="26"/>
        <v>314.91445535039782</v>
      </c>
      <c r="GE28" s="62">
        <f ca="1">AVERAGE(OFFSET($GD$3,0,0,'Données projet'!$E$17+1,1))-AVERAGE(OFFSET($H$3,0,0,'Données projet'!$E$17+1,1))</f>
        <v>315.909549580511</v>
      </c>
      <c r="GF28" s="62">
        <f t="shared" si="50"/>
        <v>208.56856525402051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>
        <f>EXP(-LN(2)/35)*GL27+(1-EXP(-LN(2)/35))/(LN(2)/35)*GH28*GI28*VLOOKUP('Données projet'!$B$17,Paramètres!$A$1:$I$89,3,0)*0.475*44/12</f>
        <v>0</v>
      </c>
      <c r="GM28" s="23">
        <f>EXP(-LN(2)/25)*GM27+(1-EXP(-LN(2)/25))/(LN(2)/25)*Calculateur!GH28*Calculateur!GJ28*VLOOKUP('Données projet'!$B$17,Paramètres!$A$1:$I$89,3,0)*0.475*44/12</f>
        <v>0</v>
      </c>
      <c r="GN28" s="23">
        <f>EXP(-LN(2)/2)*GN27+(1-EXP(-LN(2)/2))/(LN(2)/2)*GH28*GK28*VLOOKUP('Données projet'!$B$17,Paramètres!$A$1:$I$89,3,0)*0.475*44/12</f>
        <v>0</v>
      </c>
      <c r="GO28" s="23">
        <f t="shared" si="27"/>
        <v>0</v>
      </c>
      <c r="GP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50.664247060242772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>
        <f>VLOOKUP(A28,'Données projet'!$A$269:$I$289,2,0)</f>
        <v>58.333333333333329</v>
      </c>
      <c r="GS28" s="13">
        <f>VLOOKUP(A28,'Données projet'!$A$269:$I$289,9,0)</f>
        <v>5.1282051282051269</v>
      </c>
      <c r="GT28" s="13">
        <f t="array" ref="GT28">INDEX(GS:GS,MIN(IF(ISNUMBER(GS28:GS224),ROW(GS28:GS224),"")))</f>
        <v>5.1282051282051269</v>
      </c>
      <c r="GU28" s="13">
        <f>IF('Données projet'!$A$270&gt;35,GU27+GT28-HC27,IF(A28&lt;'Données projet'!$A$270,$GR$205^A28,IF(A28='Données projet'!$A$270,'Données projet'!$B$270,GU27+GT28-HC27)))</f>
        <v>58.333333333333314</v>
      </c>
      <c r="GV28" s="18">
        <f>GU28*VLOOKUP('Données projet'!$B$18,Paramètres!$A$1:$I$89,3,0)*VLOOKUP('Données projet'!$B$18,Paramètres!$A$1:$I$89,5,0)</f>
        <v>39.129999999999988</v>
      </c>
      <c r="GW28" s="14">
        <f t="shared" si="51"/>
        <v>11.767759023799293</v>
      </c>
      <c r="GX28" s="22">
        <f t="shared" si="28"/>
        <v>88.646930299783762</v>
      </c>
      <c r="GY28" s="62">
        <f t="shared" si="29"/>
        <v>304.97139174289612</v>
      </c>
      <c r="GZ28" s="62">
        <f ca="1">AVERAGE(OFFSET($GY$3,0,0,'Données projet'!$E$18+1,1))-AVERAGE(OFFSET($H$3,0,0,'Données projet'!$E$18+1,1))</f>
        <v>254.35742752782755</v>
      </c>
      <c r="HA28" s="62">
        <f t="shared" si="52"/>
        <v>171.79611712137395</v>
      </c>
      <c r="HB28" s="16">
        <f>IF(ISNA(VLOOKUP(A28,'Données projet'!$A$269:$I$289,3,0)),0,VLOOKUP(A28,'Données projet'!$A$269:$I$289,3,0))</f>
        <v>1</v>
      </c>
      <c r="HC28" s="16">
        <f>IF(ISNA(VLOOKUP(A28,'Données projet'!$A$269:$I$289,4,0)),0,VLOOKUP(A28,'Données projet'!$A$269:$I$289,4,0))</f>
        <v>16.025641025641026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>
        <f>EXP(-LN(2)/35)*HG27+(1-EXP(-LN(2)/35))/(LN(2)/35)*HC28*HD28*VLOOKUP('Données projet'!$B$18,Paramètres!$A$1:$I$89,3,0)*0.475*44/12</f>
        <v>0</v>
      </c>
      <c r="HH28" s="23">
        <f>EXP(-LN(2)/25)*HH27+(1-EXP(-LN(2)/25))/(LN(2)/25)*Calculateur!HC28*Calculateur!HE28*VLOOKUP('Données projet'!$B$18,Paramètres!$A$1:$I$89,3,0)*0.475*44/12</f>
        <v>0</v>
      </c>
      <c r="HI28" s="23">
        <f>EXP(-LN(2)/2)*HI27+(1-EXP(-LN(2)/2))/(LN(2)/2)*HC28*HF28*VLOOKUP('Données projet'!$B$18,Paramètres!$A$1:$I$89,3,0)*0.475*44/12</f>
        <v>0</v>
      </c>
      <c r="HJ28" s="24">
        <f t="shared" si="30"/>
        <v>0</v>
      </c>
    </row>
    <row r="29" spans="1:218" s="5" customFormat="1" x14ac:dyDescent="0.3">
      <c r="A29" s="11">
        <f t="shared" si="31"/>
        <v>26</v>
      </c>
      <c r="B29" s="76">
        <f>'Scénario référence'!$B$16*5+'Scénario référence'!$B$17*0+'Scénario référence'!$B$18*5</f>
        <v>3.9405000000000001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14.448500000000001</v>
      </c>
      <c r="H29" s="69">
        <f t="shared" si="1"/>
        <v>161.30656666666667</v>
      </c>
      <c r="I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50.999679145480052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5.6261538461538461</v>
      </c>
      <c r="N29" s="14">
        <f>IF('Données projet'!$A$36&gt;35,N28+M29-V28,IF(A29&lt;'Données projet'!$A$36,$K$205^A29,IF(A29='Données projet'!$A$36,'Données projet'!$B$36,N28+M29-V28)))</f>
        <v>64.164615384615388</v>
      </c>
      <c r="O29" s="14">
        <f>N29*VLOOKUP('Données projet'!$B$9,Paramètres!$A$1:$I$89,3,0)*VLOOKUP('Données projet'!$B$9,Paramètres!$A$1:$I$89,5,0)</f>
        <v>37.536300000000004</v>
      </c>
      <c r="P29" s="14">
        <f t="shared" si="33"/>
        <v>11.343246666320949</v>
      </c>
      <c r="Q29" s="22">
        <f t="shared" si="2"/>
        <v>85.131877110508995</v>
      </c>
      <c r="R29" s="62">
        <f t="shared" si="0"/>
        <v>303.90847842171365</v>
      </c>
      <c r="S29" s="62">
        <f ca="1">AVERAGE(OFFSET($R$3,0,0,'Données projet'!$E$9+1,1))-AVERAGE(OFFSET($H$3,0,0,'Données projet'!$E$9+1,1))</f>
        <v>210.54472399593521</v>
      </c>
      <c r="T29" s="62">
        <f t="shared" si="34"/>
        <v>181.14158435194193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50.999679145480052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4.4800000000000013</v>
      </c>
      <c r="AI29" s="14">
        <f>IF('Données projet'!$A$62&gt;35,AI28+AH29-AQ28,IF(A29&lt;'Données projet'!$A$62,$AF$205^A29,IF(A29='Données projet'!$A$62,'Données projet'!$B$62,AI28+AH29-AQ28)))</f>
        <v>113.88</v>
      </c>
      <c r="AJ29" s="14">
        <f>AI29*VLOOKUP('Données projet'!$B$10,Paramètres!$A$1:$I$89,3,0)*VLOOKUP('Données projet'!$B$10,Paramètres!$A$1:$I$89,5,0)</f>
        <v>59.217600000000004</v>
      </c>
      <c r="AK29" s="14">
        <f t="shared" si="35"/>
        <v>16.970302883579741</v>
      </c>
      <c r="AL29" s="22">
        <f t="shared" si="4"/>
        <v>132.69393085556803</v>
      </c>
      <c r="AM29" s="62">
        <f t="shared" si="5"/>
        <v>351.47053216677267</v>
      </c>
      <c r="AN29" s="62">
        <f ca="1">AVERAGE(OFFSET($AM$3,0,0,'Données projet'!$E$10+1,1))-AVERAGE(OFFSET($H$3,0,0,'Données projet'!$E$10+1,1))</f>
        <v>289.05608923588198</v>
      </c>
      <c r="AO29" s="62">
        <f t="shared" si="36"/>
        <v>220.06639020312738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50.999679145480052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1.9887500000000009</v>
      </c>
      <c r="BD29" s="13">
        <f>IF('Données projet'!$A$88&gt;35,BD28+BC29-BL28,IF(A29&lt;'Données projet'!$A$88,$BA$205^A29,IF(A29='Données projet'!$A$88,'Données projet'!$B$88,BD28+BC29-BL28)))</f>
        <v>46.832500000000024</v>
      </c>
      <c r="BE29" s="14">
        <f>BD29*VLOOKUP('Données projet'!$B$11,Paramètres!$A$1:$I$89,3,0)*VLOOKUP('Données projet'!$B$11,Paramètres!$A$1:$I$89,5,0)</f>
        <v>53.951040000000027</v>
      </c>
      <c r="BF29" s="14">
        <f t="shared" si="37"/>
        <v>15.629572760496334</v>
      </c>
      <c r="BG29" s="22">
        <f t="shared" si="7"/>
        <v>121.18623389119783</v>
      </c>
      <c r="BH29" s="62">
        <f t="shared" si="8"/>
        <v>339.96283520240246</v>
      </c>
      <c r="BI29" s="62">
        <f ca="1">AVERAGE(OFFSET($BH$3,0,0,'Données projet'!$E$11+1,1))-AVERAGE(OFFSET($H$3,0,0,'Données projet'!$E$11+1,1))</f>
        <v>299.54950406029354</v>
      </c>
      <c r="BJ29" s="62">
        <f t="shared" si="38"/>
        <v>208.26364698165739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50.999679145480052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4.9999999999999982</v>
      </c>
      <c r="BY29" s="13">
        <f>IF('Données projet'!$A$114&gt;35,BY28+BX29-CG28,IF(A29&lt;'Données projet'!$A$114,$BV$205^A29,IF(A29='Données projet'!$A$114,'Données projet'!$B$114,BY28+BX29-CG28)))</f>
        <v>65.256410256410263</v>
      </c>
      <c r="BZ29" s="14">
        <f>BY29*VLOOKUP('Données projet'!$B$12,Paramètres!$A$1:$I$89,3,0)*VLOOKUP('Données projet'!$B$12,Paramètres!$A$1:$I$89,5,0)</f>
        <v>70.242000000000004</v>
      </c>
      <c r="CA29" s="14">
        <f t="shared" si="39"/>
        <v>19.733542624173232</v>
      </c>
      <c r="CB29" s="22">
        <f t="shared" si="10"/>
        <v>156.70740340376838</v>
      </c>
      <c r="CC29" s="62">
        <f t="shared" si="11"/>
        <v>375.48400471497303</v>
      </c>
      <c r="CD29" s="62">
        <f ca="1">AVERAGE(OFFSET($CC$3,0,0,'Données projet'!$E$12+1,1))-AVERAGE(OFFSET($H$3,0,0,'Données projet'!$E$12+1,1))</f>
        <v>441.30518831297212</v>
      </c>
      <c r="CE29" s="62">
        <f t="shared" si="40"/>
        <v>270.42872405271851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50.999679145480052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9.8000000000000007</v>
      </c>
      <c r="CT29" s="13">
        <f>IF('Données projet'!$A$140&gt;35,CT28+CS29-DB28,IF(A29&lt;'Données projet'!$A$140,$CQ$205^A29,IF(A29='Données projet'!$A$140,'Données projet'!$B$140,CT28+CS29-DB28)))</f>
        <v>74.8</v>
      </c>
      <c r="CU29" s="18">
        <f>CT29*VLOOKUP('Données projet'!$B$13,Paramètres!$A$1:$I$89,3,0)*VLOOKUP('Données projet'!$B$13,Paramètres!$A$1:$I$89,5,0)</f>
        <v>65.345280000000017</v>
      </c>
      <c r="CV29" s="14">
        <f t="shared" si="41"/>
        <v>18.512938248561991</v>
      </c>
      <c r="CW29" s="22">
        <f t="shared" si="13"/>
        <v>146.05306344957884</v>
      </c>
      <c r="CX29" s="62">
        <f t="shared" si="14"/>
        <v>364.82966476078349</v>
      </c>
      <c r="CY29" s="62">
        <f ca="1">AVERAGE(OFFSET($CX$3,0,0,'Données projet'!$E$13+1,1))-AVERAGE(OFFSET($H$3,0,0,'Données projet'!$E$13+1,1))</f>
        <v>310.81258463659196</v>
      </c>
      <c r="CZ29" s="62">
        <f t="shared" si="42"/>
        <v>287.31099756692083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50.999679145480052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4.9999999999999982</v>
      </c>
      <c r="DO29" s="13">
        <f>IF('Données projet'!$A$166&gt;35,DO28+DN29-DW28,IF(A29&lt;'Données projet'!$A$166,$DL$205^A29,IF(A29='Données projet'!$A$166,'Données projet'!$B$166,DO28+DN29-DW28)))</f>
        <v>65.256410256410263</v>
      </c>
      <c r="DP29" s="18">
        <f>DO29*VLOOKUP('Données projet'!$B$14,Paramètres!$A$1:$I$89,3,0)*VLOOKUP('Données projet'!$B$14,Paramètres!$A$1:$I$89,5,0)</f>
        <v>68.206000000000017</v>
      </c>
      <c r="DQ29" s="14">
        <f t="shared" si="43"/>
        <v>19.227273197650447</v>
      </c>
      <c r="DR29" s="22">
        <f t="shared" si="16"/>
        <v>152.27961748590789</v>
      </c>
      <c r="DS29" s="62">
        <f t="shared" si="17"/>
        <v>371.05621879711254</v>
      </c>
      <c r="DT29" s="62">
        <f ca="1">AVERAGE(OFFSET($DS$3,0,0,'Données projet'!$E$14+1,1))-AVERAGE(OFFSET($H$3,0,0,'Données projet'!$E$14+1,1))</f>
        <v>431.19274104373625</v>
      </c>
      <c r="DU29" s="62">
        <f t="shared" si="44"/>
        <v>264.67919175178133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50.999679145480052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3.4425641025641025</v>
      </c>
      <c r="EJ29" s="13">
        <f>IF('Données projet'!$A$192&gt;35,EJ28+EI29-ER28,IF(A29&lt;'Données projet'!$A$192,$EG$205^A29,IF(A29='Données projet'!$A$192,'Données projet'!$B$192,EJ28+EI29-ER28)))</f>
        <v>55.650557381086244</v>
      </c>
      <c r="EK29" s="18">
        <f>EJ29*VLOOKUP('Données projet'!$B$15,Paramètres!$A$1:$I$89,3,0)*VLOOKUP('Données projet'!$B$15,Paramètres!$A$1:$I$89,5,0)</f>
        <v>26.044460854348362</v>
      </c>
      <c r="EL29" s="14">
        <f t="shared" si="45"/>
        <v>8.2125526568599181</v>
      </c>
      <c r="EM29" s="22">
        <f t="shared" si="19"/>
        <v>59.664298532021071</v>
      </c>
      <c r="EN29" s="62">
        <f t="shared" si="20"/>
        <v>278.44089984322574</v>
      </c>
      <c r="EO29" s="62">
        <f ca="1">AVERAGE(OFFSET($EN$3,0,0,'Données projet'!$E$15+1,1))-AVERAGE(OFFSET($H$3,0,0,'Données projet'!$E$15+1,1))</f>
        <v>291.68530745507815</v>
      </c>
      <c r="EP29" s="62">
        <f t="shared" si="46"/>
        <v>175.95121106728979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50.999679145480052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6.6</v>
      </c>
      <c r="FE29" s="13">
        <f>IF('Données projet'!$A$218&gt;35,FE28+FD29-FM28,IF(A29&lt;'Données projet'!$A$218,$FB$205^A29,IF(A29='Données projet'!$A$218,'Données projet'!$B$218,FE28+FD29-FM28)))</f>
        <v>86.599999999999966</v>
      </c>
      <c r="FF29" s="18">
        <f>FE29*VLOOKUP('Données projet'!$B$16,Paramètres!$A$1:$I$89,3,0)*VLOOKUP('Données projet'!$B$16,Paramètres!$A$1:$I$89,5,0)</f>
        <v>56.740319999999983</v>
      </c>
      <c r="FG29" s="14">
        <f t="shared" si="47"/>
        <v>16.341459515532755</v>
      </c>
      <c r="FH29" s="22">
        <f t="shared" si="22"/>
        <v>127.28409932288616</v>
      </c>
      <c r="FI29" s="62">
        <f t="shared" si="23"/>
        <v>346.06070063409084</v>
      </c>
      <c r="FJ29" s="62">
        <f ca="1">AVERAGE(OFFSET($FI$3,0,0,'Données projet'!$E$16+1,1))-AVERAGE(OFFSET($H$3,0,0,'Données projet'!$E$16+1,1))</f>
        <v>248.75689726928428</v>
      </c>
      <c r="FK29" s="62">
        <f t="shared" si="48"/>
        <v>232.02291680388336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projet'!$B$16,Paramètres!$A$1:$I$89,3,0)*0.475*44/12</f>
        <v>0</v>
      </c>
      <c r="FR29" s="23">
        <f>EXP(-LN(2)/25)*FR28+(1-EXP(-LN(2)/25))/(LN(2)/25)*Calculateur!FM29*Calculateur!FO29*VLOOKUP('Données projet'!$B$16,Paramètres!$A$1:$I$89,3,0)*0.475*44/12</f>
        <v>0</v>
      </c>
      <c r="FS29" s="23">
        <f>EXP(-LN(2)/2)*FS28+(1-EXP(-LN(2)/2))/(LN(2)/2)*FM29*FP29*VLOOKUP('Données projet'!$B$16,Paramètres!$A$1:$I$89,3,0)*0.475*44/12</f>
        <v>0</v>
      </c>
      <c r="FT29" s="24">
        <f t="shared" si="24"/>
        <v>0</v>
      </c>
      <c r="FU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50.999679145480052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5</v>
      </c>
      <c r="FZ29" s="13">
        <f>IF('Données projet'!$A$244&gt;35,FZ28+FY29-GH28,IF(A29&lt;'Données projet'!$A$244,$FW$205^A29,IF(A29='Données projet'!$A$244,'Données projet'!$B$244,FZ28+FY29-GH28)))</f>
        <v>86.65192375368558</v>
      </c>
      <c r="GA29" s="18">
        <f>FZ29*VLOOKUP('Données projet'!$B$17,Paramètres!$A$1:$I$89,3,0)*VLOOKUP('Données projet'!$B$17,Paramètres!$A$1:$I$89,5,0)</f>
        <v>51.817850404703975</v>
      </c>
      <c r="GB29" s="14">
        <f t="shared" si="49"/>
        <v>15.082247261547371</v>
      </c>
      <c r="GC29" s="22">
        <f t="shared" si="25"/>
        <v>116.51767010205441</v>
      </c>
      <c r="GD29" s="62">
        <f t="shared" si="26"/>
        <v>335.29427141325903</v>
      </c>
      <c r="GE29" s="62">
        <f ca="1">AVERAGE(OFFSET($GD$3,0,0,'Données projet'!$E$17+1,1))-AVERAGE(OFFSET($H$3,0,0,'Données projet'!$E$17+1,1))</f>
        <v>315.909549580511</v>
      </c>
      <c r="GF29" s="62">
        <f t="shared" si="50"/>
        <v>208.56856525402051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projet'!$B$17,Paramètres!$A$1:$I$89,3,0)*0.475*44/12</f>
        <v>0</v>
      </c>
      <c r="GM29" s="23">
        <f>EXP(-LN(2)/25)*GM28+(1-EXP(-LN(2)/25))/(LN(2)/25)*Calculateur!GH29*Calculateur!GJ29*VLOOKUP('Données projet'!$B$17,Paramètres!$A$1:$I$89,3,0)*0.475*44/12</f>
        <v>0</v>
      </c>
      <c r="GN29" s="23">
        <f>EXP(-LN(2)/2)*GN28+(1-EXP(-LN(2)/2))/(LN(2)/2)*GH29*GK29*VLOOKUP('Données projet'!$B$17,Paramètres!$A$1:$I$89,3,0)*0.475*44/12</f>
        <v>0</v>
      </c>
      <c r="GO29" s="23">
        <f t="shared" si="27"/>
        <v>0</v>
      </c>
      <c r="GP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50.999679145480052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5.3846153846153841</v>
      </c>
      <c r="GU29" s="13">
        <f>IF('Données projet'!$A$270&gt;35,GU28+GT29-HC28,IF(A29&lt;'Données projet'!$A$270,$GR$205^A29,IF(A29='Données projet'!$A$270,'Données projet'!$B$270,GU28+GT29-HC28)))</f>
        <v>47.692307692307679</v>
      </c>
      <c r="GV29" s="18">
        <f>GU29*VLOOKUP('Données projet'!$B$18,Paramètres!$A$1:$I$89,3,0)*VLOOKUP('Données projet'!$B$18,Paramètres!$A$1:$I$89,5,0)</f>
        <v>31.991999999999994</v>
      </c>
      <c r="GW29" s="14">
        <f t="shared" si="51"/>
        <v>9.849328852856404</v>
      </c>
      <c r="GX29" s="22">
        <f t="shared" si="28"/>
        <v>72.873647752058218</v>
      </c>
      <c r="GY29" s="62">
        <f t="shared" si="29"/>
        <v>291.65024906326289</v>
      </c>
      <c r="GZ29" s="62">
        <f ca="1">AVERAGE(OFFSET($GY$3,0,0,'Données projet'!$E$18+1,1))-AVERAGE(OFFSET($H$3,0,0,'Données projet'!$E$18+1,1))</f>
        <v>254.35742752782755</v>
      </c>
      <c r="HA29" s="62">
        <f t="shared" si="52"/>
        <v>171.79611712137395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>
        <f>EXP(-LN(2)/35)*HG28+(1-EXP(-LN(2)/35))/(LN(2)/35)*HC29*HD29*VLOOKUP('Données projet'!$B$18,Paramètres!$A$1:$I$89,3,0)*0.475*44/12</f>
        <v>0</v>
      </c>
      <c r="HH29" s="23">
        <f>EXP(-LN(2)/25)*HH28+(1-EXP(-LN(2)/25))/(LN(2)/25)*Calculateur!HC29*Calculateur!HE29*VLOOKUP('Données projet'!$B$18,Paramètres!$A$1:$I$89,3,0)*0.475*44/12</f>
        <v>0</v>
      </c>
      <c r="HI29" s="23">
        <f>EXP(-LN(2)/2)*HI28+(1-EXP(-LN(2)/2))/(LN(2)/2)*HC29*HF29*VLOOKUP('Données projet'!$B$18,Paramètres!$A$1:$I$89,3,0)*0.475*44/12</f>
        <v>0</v>
      </c>
      <c r="HJ29" s="24">
        <f t="shared" si="30"/>
        <v>0</v>
      </c>
    </row>
    <row r="30" spans="1:218" s="5" customFormat="1" x14ac:dyDescent="0.3">
      <c r="A30" s="11">
        <f t="shared" si="31"/>
        <v>27</v>
      </c>
      <c r="B30" s="76">
        <f>'Scénario référence'!$B$16*5+'Scénario référence'!$B$17*0+'Scénario référence'!$B$18*5</f>
        <v>3.9405000000000001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14.448500000000001</v>
      </c>
      <c r="H30" s="69">
        <f t="shared" si="1"/>
        <v>161.30656666666667</v>
      </c>
      <c r="I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51.329292233952259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5.6261538461538461</v>
      </c>
      <c r="N30" s="14">
        <f>IF('Données projet'!$A$36&gt;35,N29+M30-V29,IF(A30&lt;'Données projet'!$A$36,$K$205^A30,IF(A30='Données projet'!$A$36,'Données projet'!$B$36,N29+M30-V29)))</f>
        <v>69.790769230769229</v>
      </c>
      <c r="O30" s="14">
        <f>N30*VLOOKUP('Données projet'!$B$9,Paramètres!$A$1:$I$89,3,0)*VLOOKUP('Données projet'!$B$9,Paramètres!$A$1:$I$89,5,0)</f>
        <v>40.827599999999997</v>
      </c>
      <c r="P30" s="14">
        <f t="shared" si="33"/>
        <v>12.217740250965957</v>
      </c>
      <c r="Q30" s="22">
        <f t="shared" si="2"/>
        <v>92.387300937099027</v>
      </c>
      <c r="R30" s="62">
        <f t="shared" si="0"/>
        <v>313.59470579492398</v>
      </c>
      <c r="S30" s="62">
        <f ca="1">AVERAGE(OFFSET($R$3,0,0,'Données projet'!$E$9+1,1))-AVERAGE(OFFSET($H$3,0,0,'Données projet'!$E$9+1,1))</f>
        <v>210.54472399593521</v>
      </c>
      <c r="T30" s="62">
        <f t="shared" si="34"/>
        <v>181.14158435194193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51.329292233952259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4.4800000000000013</v>
      </c>
      <c r="AI30" s="14">
        <f>IF('Données projet'!$A$62&gt;35,AI29+AH30-AQ29,IF(A30&lt;'Données projet'!$A$62,$AF$205^A30,IF(A30='Données projet'!$A$62,'Données projet'!$B$62,AI29+AH30-AQ29)))</f>
        <v>118.36</v>
      </c>
      <c r="AJ30" s="14">
        <f>AI30*VLOOKUP('Données projet'!$B$10,Paramètres!$A$1:$I$89,3,0)*VLOOKUP('Données projet'!$B$10,Paramètres!$A$1:$I$89,5,0)</f>
        <v>61.547200000000004</v>
      </c>
      <c r="AK30" s="14">
        <f t="shared" si="35"/>
        <v>17.558868196136149</v>
      </c>
      <c r="AL30" s="22">
        <f t="shared" si="4"/>
        <v>137.77640210827045</v>
      </c>
      <c r="AM30" s="62">
        <f t="shared" si="5"/>
        <v>358.98380696609536</v>
      </c>
      <c r="AN30" s="62">
        <f ca="1">AVERAGE(OFFSET($AM$3,0,0,'Données projet'!$E$10+1,1))-AVERAGE(OFFSET($H$3,0,0,'Données projet'!$E$10+1,1))</f>
        <v>289.05608923588198</v>
      </c>
      <c r="AO30" s="62">
        <f t="shared" si="36"/>
        <v>220.06639020312738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51.329292233952259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1.9887500000000009</v>
      </c>
      <c r="BD30" s="13">
        <f>IF('Données projet'!$A$88&gt;35,BD29+BC30-BL29,IF(A30&lt;'Données projet'!$A$88,$BA$205^A30,IF(A30='Données projet'!$A$88,'Données projet'!$B$88,BD29+BC30-BL29)))</f>
        <v>48.821250000000028</v>
      </c>
      <c r="BE30" s="14">
        <f>BD30*VLOOKUP('Données projet'!$B$11,Paramètres!$A$1:$I$89,3,0)*VLOOKUP('Données projet'!$B$11,Paramètres!$A$1:$I$89,5,0)</f>
        <v>56.242080000000023</v>
      </c>
      <c r="BF30" s="14">
        <f t="shared" si="37"/>
        <v>16.214602064519848</v>
      </c>
      <c r="BG30" s="22">
        <f t="shared" si="7"/>
        <v>126.19538792903876</v>
      </c>
      <c r="BH30" s="62">
        <f t="shared" si="8"/>
        <v>347.4027927868637</v>
      </c>
      <c r="BI30" s="62">
        <f ca="1">AVERAGE(OFFSET($BH$3,0,0,'Données projet'!$E$11+1,1))-AVERAGE(OFFSET($H$3,0,0,'Données projet'!$E$11+1,1))</f>
        <v>299.54950406029354</v>
      </c>
      <c r="BJ30" s="62">
        <f t="shared" si="38"/>
        <v>208.26364698165739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51.329292233952259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4.9999999999999982</v>
      </c>
      <c r="BY30" s="13">
        <f>IF('Données projet'!$A$114&gt;35,BY29+BX30-CG29,IF(A30&lt;'Données projet'!$A$114,$BV$205^A30,IF(A30='Données projet'!$A$114,'Données projet'!$B$114,BY29+BX30-CG29)))</f>
        <v>70.256410256410263</v>
      </c>
      <c r="BZ30" s="14">
        <f>BY30*VLOOKUP('Données projet'!$B$12,Paramètres!$A$1:$I$89,3,0)*VLOOKUP('Données projet'!$B$12,Paramètres!$A$1:$I$89,5,0)</f>
        <v>75.624000000000009</v>
      </c>
      <c r="CA30" s="14">
        <f t="shared" si="39"/>
        <v>21.063751721138914</v>
      </c>
      <c r="CB30" s="22">
        <f t="shared" si="10"/>
        <v>168.39783424765028</v>
      </c>
      <c r="CC30" s="62">
        <f t="shared" si="11"/>
        <v>389.60523910547522</v>
      </c>
      <c r="CD30" s="62">
        <f ca="1">AVERAGE(OFFSET($CC$3,0,0,'Données projet'!$E$12+1,1))-AVERAGE(OFFSET($H$3,0,0,'Données projet'!$E$12+1,1))</f>
        <v>441.30518831297212</v>
      </c>
      <c r="CE30" s="62">
        <f t="shared" si="40"/>
        <v>270.42872405271851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51.329292233952259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9.8000000000000007</v>
      </c>
      <c r="CT30" s="13">
        <f>IF('Données projet'!$A$140&gt;35,CT29+CS30-DB29,IF(A30&lt;'Données projet'!$A$140,$CQ$205^A30,IF(A30='Données projet'!$A$140,'Données projet'!$B$140,CT29+CS30-DB29)))</f>
        <v>84.6</v>
      </c>
      <c r="CU30" s="18">
        <f>CT30*VLOOKUP('Données projet'!$B$13,Paramètres!$A$1:$I$89,3,0)*VLOOKUP('Données projet'!$B$13,Paramètres!$A$1:$I$89,5,0)</f>
        <v>73.906560000000013</v>
      </c>
      <c r="CV30" s="14">
        <f t="shared" si="41"/>
        <v>20.640506648584481</v>
      </c>
      <c r="CW30" s="22">
        <f t="shared" si="13"/>
        <v>164.6694744129513</v>
      </c>
      <c r="CX30" s="62">
        <f t="shared" si="14"/>
        <v>385.87687927077627</v>
      </c>
      <c r="CY30" s="62">
        <f ca="1">AVERAGE(OFFSET($CX$3,0,0,'Données projet'!$E$13+1,1))-AVERAGE(OFFSET($H$3,0,0,'Données projet'!$E$13+1,1))</f>
        <v>310.81258463659196</v>
      </c>
      <c r="CZ30" s="62">
        <f t="shared" si="42"/>
        <v>287.31099756692083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51.329292233952259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4.9999999999999982</v>
      </c>
      <c r="DO30" s="13">
        <f>IF('Données projet'!$A$166&gt;35,DO29+DN30-DW29,IF(A30&lt;'Données projet'!$A$166,$DL$205^A30,IF(A30='Données projet'!$A$166,'Données projet'!$B$166,DO29+DN30-DW29)))</f>
        <v>70.256410256410263</v>
      </c>
      <c r="DP30" s="18">
        <f>DO30*VLOOKUP('Données projet'!$B$14,Paramètres!$A$1:$I$89,3,0)*VLOOKUP('Données projet'!$B$14,Paramètres!$A$1:$I$89,5,0)</f>
        <v>73.432000000000016</v>
      </c>
      <c r="DQ30" s="14">
        <f t="shared" si="43"/>
        <v>20.523355416867822</v>
      </c>
      <c r="DR30" s="22">
        <f t="shared" si="16"/>
        <v>163.63891068437815</v>
      </c>
      <c r="DS30" s="62">
        <f t="shared" si="17"/>
        <v>384.84631554220312</v>
      </c>
      <c r="DT30" s="62">
        <f ca="1">AVERAGE(OFFSET($DS$3,0,0,'Données projet'!$E$14+1,1))-AVERAGE(OFFSET($H$3,0,0,'Données projet'!$E$14+1,1))</f>
        <v>431.19274104373625</v>
      </c>
      <c r="DU30" s="62">
        <f t="shared" si="44"/>
        <v>264.67919175178133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51.329292233952259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3.4425641025641025</v>
      </c>
      <c r="EJ30" s="13">
        <f>IF('Données projet'!$A$192&gt;35,EJ29+EI30-ER29,IF(A30&lt;'Données projet'!$A$192,$EG$205^A30,IF(A30='Données projet'!$A$192,'Données projet'!$B$192,EJ29+EI30-ER29)))</f>
        <v>64.953560365747308</v>
      </c>
      <c r="EK30" s="18">
        <f>EJ30*VLOOKUP('Données projet'!$B$15,Paramètres!$A$1:$I$89,3,0)*VLOOKUP('Données projet'!$B$15,Paramètres!$A$1:$I$89,5,0)</f>
        <v>30.398266251169741</v>
      </c>
      <c r="EL30" s="14">
        <f t="shared" si="45"/>
        <v>9.4145003824463398</v>
      </c>
      <c r="EM30" s="22">
        <f t="shared" si="19"/>
        <v>69.340568553547996</v>
      </c>
      <c r="EN30" s="62">
        <f t="shared" si="20"/>
        <v>290.54797341137294</v>
      </c>
      <c r="EO30" s="62">
        <f ca="1">AVERAGE(OFFSET($EN$3,0,0,'Données projet'!$E$15+1,1))-AVERAGE(OFFSET($H$3,0,0,'Données projet'!$E$15+1,1))</f>
        <v>291.68530745507815</v>
      </c>
      <c r="EP30" s="62">
        <f t="shared" si="46"/>
        <v>175.95121106728979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51.329292233952259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6.6</v>
      </c>
      <c r="FE30" s="13">
        <f>IF('Données projet'!$A$218&gt;35,FE29+FD30-FM29,IF(A30&lt;'Données projet'!$A$218,$FB$205^A30,IF(A30='Données projet'!$A$218,'Données projet'!$B$218,FE29+FD30-FM29)))</f>
        <v>93.19999999999996</v>
      </c>
      <c r="FF30" s="18">
        <f>FE30*VLOOKUP('Données projet'!$B$16,Paramètres!$A$1:$I$89,3,0)*VLOOKUP('Données projet'!$B$16,Paramètres!$A$1:$I$89,5,0)</f>
        <v>61.064639999999976</v>
      </c>
      <c r="FG30" s="14">
        <f t="shared" si="47"/>
        <v>17.437167249426885</v>
      </c>
      <c r="FH30" s="22">
        <f t="shared" si="22"/>
        <v>136.72398095941844</v>
      </c>
      <c r="FI30" s="62">
        <f t="shared" si="23"/>
        <v>357.93138581724338</v>
      </c>
      <c r="FJ30" s="62">
        <f ca="1">AVERAGE(OFFSET($FI$3,0,0,'Données projet'!$E$16+1,1))-AVERAGE(OFFSET($H$3,0,0,'Données projet'!$E$16+1,1))</f>
        <v>248.75689726928428</v>
      </c>
      <c r="FK30" s="62">
        <f t="shared" si="48"/>
        <v>232.02291680388336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projet'!$B$16,Paramètres!$A$1:$I$89,3,0)*0.475*44/12</f>
        <v>0</v>
      </c>
      <c r="FR30" s="23">
        <f>EXP(-LN(2)/25)*FR29+(1-EXP(-LN(2)/25))/(LN(2)/25)*Calculateur!FM30*Calculateur!FO30*VLOOKUP('Données projet'!$B$16,Paramètres!$A$1:$I$89,3,0)*0.475*44/12</f>
        <v>0</v>
      </c>
      <c r="FS30" s="23">
        <f>EXP(-LN(2)/2)*FS29+(1-EXP(-LN(2)/2))/(LN(2)/2)*FM30*FP30*VLOOKUP('Données projet'!$B$16,Paramètres!$A$1:$I$89,3,0)*0.475*44/12</f>
        <v>0</v>
      </c>
      <c r="FT30" s="24">
        <f t="shared" si="24"/>
        <v>0</v>
      </c>
      <c r="FU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51.329292233952259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5</v>
      </c>
      <c r="FZ30" s="13">
        <f>IF('Données projet'!$A$244&gt;35,FZ29+FY30-GH29,IF(A30&lt;'Données projet'!$A$244,$FW$205^A30,IF(A30='Données projet'!$A$244,'Données projet'!$B$244,FZ29+FY30-GH29)))</f>
        <v>102.87459536303965</v>
      </c>
      <c r="GA30" s="18">
        <f>FZ30*VLOOKUP('Données projet'!$B$17,Paramètres!$A$1:$I$89,3,0)*VLOOKUP('Données projet'!$B$17,Paramètres!$A$1:$I$89,5,0)</f>
        <v>61.519008027097712</v>
      </c>
      <c r="GB30" s="14">
        <f t="shared" si="49"/>
        <v>17.551761283532294</v>
      </c>
      <c r="GC30" s="22">
        <f t="shared" si="25"/>
        <v>137.71492321601389</v>
      </c>
      <c r="GD30" s="62">
        <f t="shared" si="26"/>
        <v>358.9223280738388</v>
      </c>
      <c r="GE30" s="62">
        <f ca="1">AVERAGE(OFFSET($GD$3,0,0,'Données projet'!$E$17+1,1))-AVERAGE(OFFSET($H$3,0,0,'Données projet'!$E$17+1,1))</f>
        <v>315.909549580511</v>
      </c>
      <c r="GF30" s="62">
        <f t="shared" si="50"/>
        <v>208.56856525402051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>
        <f>EXP(-LN(2)/35)*GL29+(1-EXP(-LN(2)/35))/(LN(2)/35)*GH30*GI30*VLOOKUP('Données projet'!$B$17,Paramètres!$A$1:$I$89,3,0)*0.475*44/12</f>
        <v>0</v>
      </c>
      <c r="GM30" s="23">
        <f>EXP(-LN(2)/25)*GM29+(1-EXP(-LN(2)/25))/(LN(2)/25)*Calculateur!GH30*Calculateur!GJ30*VLOOKUP('Données projet'!$B$17,Paramètres!$A$1:$I$89,3,0)*0.475*44/12</f>
        <v>0</v>
      </c>
      <c r="GN30" s="23">
        <f>EXP(-LN(2)/2)*GN29+(1-EXP(-LN(2)/2))/(LN(2)/2)*GH30*GK30*VLOOKUP('Données projet'!$B$17,Paramètres!$A$1:$I$89,3,0)*0.475*44/12</f>
        <v>0</v>
      </c>
      <c r="GO30" s="23">
        <f t="shared" si="27"/>
        <v>0</v>
      </c>
      <c r="GP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51.329292233952259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5.3846153846153841</v>
      </c>
      <c r="GU30" s="13">
        <f>IF('Données projet'!$A$270&gt;35,GU29+GT30-HC29,IF(A30&lt;'Données projet'!$A$270,$GR$205^A30,IF(A30='Données projet'!$A$270,'Données projet'!$B$270,GU29+GT30-HC29)))</f>
        <v>53.076923076923066</v>
      </c>
      <c r="GV30" s="18">
        <f>GU30*VLOOKUP('Données projet'!$B$18,Paramètres!$A$1:$I$89,3,0)*VLOOKUP('Données projet'!$B$18,Paramètres!$A$1:$I$89,5,0)</f>
        <v>35.603999999999992</v>
      </c>
      <c r="GW30" s="14">
        <f t="shared" si="51"/>
        <v>10.825710219553912</v>
      </c>
      <c r="GX30" s="22">
        <f t="shared" si="28"/>
        <v>80.865078632389711</v>
      </c>
      <c r="GY30" s="62">
        <f t="shared" si="29"/>
        <v>302.07248349021467</v>
      </c>
      <c r="GZ30" s="62">
        <f ca="1">AVERAGE(OFFSET($GY$3,0,0,'Données projet'!$E$18+1,1))-AVERAGE(OFFSET($H$3,0,0,'Données projet'!$E$18+1,1))</f>
        <v>254.35742752782755</v>
      </c>
      <c r="HA30" s="62">
        <f t="shared" si="52"/>
        <v>171.79611712137395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>
        <f>EXP(-LN(2)/35)*HG29+(1-EXP(-LN(2)/35))/(LN(2)/35)*HC30*HD30*VLOOKUP('Données projet'!$B$18,Paramètres!$A$1:$I$89,3,0)*0.475*44/12</f>
        <v>0</v>
      </c>
      <c r="HH30" s="23">
        <f>EXP(-LN(2)/25)*HH29+(1-EXP(-LN(2)/25))/(LN(2)/25)*Calculateur!HC30*Calculateur!HE30*VLOOKUP('Données projet'!$B$18,Paramètres!$A$1:$I$89,3,0)*0.475*44/12</f>
        <v>0</v>
      </c>
      <c r="HI30" s="23">
        <f>EXP(-LN(2)/2)*HI29+(1-EXP(-LN(2)/2))/(LN(2)/2)*HC30*HF30*VLOOKUP('Données projet'!$B$18,Paramètres!$A$1:$I$89,3,0)*0.475*44/12</f>
        <v>0</v>
      </c>
      <c r="HJ30" s="24">
        <f t="shared" si="30"/>
        <v>0</v>
      </c>
    </row>
    <row r="31" spans="1:218" s="5" customFormat="1" x14ac:dyDescent="0.3">
      <c r="A31" s="11">
        <f t="shared" si="31"/>
        <v>28</v>
      </c>
      <c r="B31" s="76">
        <f>'Scénario référence'!$B$16*5+'Scénario référence'!$B$17*0+'Scénario référence'!$B$18*5</f>
        <v>3.9405000000000001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14.448500000000001</v>
      </c>
      <c r="H31" s="69">
        <f t="shared" si="1"/>
        <v>161.30656666666667</v>
      </c>
      <c r="I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51.65318727224394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5.6261538461538461</v>
      </c>
      <c r="N31" s="14">
        <f>IF('Données projet'!$A$36&gt;35,N30+M31-V30,IF(A31&lt;'Données projet'!$A$36,$K$205^A31,IF(A31='Données projet'!$A$36,'Données projet'!$B$36,N30+M31-V30)))</f>
        <v>75.416923076923069</v>
      </c>
      <c r="O31" s="14">
        <f>N31*VLOOKUP('Données projet'!$B$9,Paramètres!$A$1:$I$89,3,0)*VLOOKUP('Données projet'!$B$9,Paramètres!$A$1:$I$89,5,0)</f>
        <v>44.118900000000004</v>
      </c>
      <c r="P31" s="14">
        <f t="shared" si="33"/>
        <v>13.084057029220077</v>
      </c>
      <c r="Q31" s="22">
        <f t="shared" si="2"/>
        <v>99.628483492558303</v>
      </c>
      <c r="R31" s="62">
        <f t="shared" si="0"/>
        <v>323.24572571300837</v>
      </c>
      <c r="S31" s="62">
        <f ca="1">AVERAGE(OFFSET($R$3,0,0,'Données projet'!$E$9+1,1))-AVERAGE(OFFSET($H$3,0,0,'Données projet'!$E$9+1,1))</f>
        <v>210.54472399593521</v>
      </c>
      <c r="T31" s="62">
        <f t="shared" si="34"/>
        <v>181.14158435194193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51.65318727224394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4.4800000000000013</v>
      </c>
      <c r="AI31" s="14">
        <f>IF('Données projet'!$A$62&gt;35,AI30+AH31-AQ30,IF(A31&lt;'Données projet'!$A$62,$AF$205^A31,IF(A31='Données projet'!$A$62,'Données projet'!$B$62,AI30+AH31-AQ30)))</f>
        <v>122.84</v>
      </c>
      <c r="AJ31" s="14">
        <f>AI31*VLOOKUP('Données projet'!$B$10,Paramètres!$A$1:$I$89,3,0)*VLOOKUP('Données projet'!$B$10,Paramètres!$A$1:$I$89,5,0)</f>
        <v>63.876800000000003</v>
      </c>
      <c r="AK31" s="14">
        <f t="shared" si="35"/>
        <v>18.144845451390143</v>
      </c>
      <c r="AL31" s="22">
        <f t="shared" si="4"/>
        <v>142.85436582783782</v>
      </c>
      <c r="AM31" s="62">
        <f t="shared" si="5"/>
        <v>366.47160804828786</v>
      </c>
      <c r="AN31" s="62">
        <f ca="1">AVERAGE(OFFSET($AM$3,0,0,'Données projet'!$E$10+1,1))-AVERAGE(OFFSET($H$3,0,0,'Données projet'!$E$10+1,1))</f>
        <v>289.05608923588198</v>
      </c>
      <c r="AO31" s="62">
        <f t="shared" si="36"/>
        <v>220.06639020312738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51.65318727224394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1.9887500000000009</v>
      </c>
      <c r="BD31" s="13">
        <f>IF('Données projet'!$A$88&gt;35,BD30+BC31-BL30,IF(A31&lt;'Données projet'!$A$88,$BA$205^A31,IF(A31='Données projet'!$A$88,'Données projet'!$B$88,BD30+BC31-BL30)))</f>
        <v>50.810000000000031</v>
      </c>
      <c r="BE31" s="14">
        <f>BD31*VLOOKUP('Données projet'!$B$11,Paramètres!$A$1:$I$89,3,0)*VLOOKUP('Données projet'!$B$11,Paramètres!$A$1:$I$89,5,0)</f>
        <v>58.533120000000032</v>
      </c>
      <c r="BF31" s="14">
        <f t="shared" si="37"/>
        <v>16.79686315525263</v>
      </c>
      <c r="BG31" s="22">
        <f t="shared" si="7"/>
        <v>131.19972066206506</v>
      </c>
      <c r="BH31" s="62">
        <f t="shared" si="8"/>
        <v>354.8169628825151</v>
      </c>
      <c r="BI31" s="62">
        <f ca="1">AVERAGE(OFFSET($BH$3,0,0,'Données projet'!$E$11+1,1))-AVERAGE(OFFSET($H$3,0,0,'Données projet'!$E$11+1,1))</f>
        <v>299.54950406029354</v>
      </c>
      <c r="BJ31" s="62">
        <f t="shared" si="38"/>
        <v>208.26364698165739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51.65318727224394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4.9999999999999982</v>
      </c>
      <c r="BY31" s="13">
        <f>IF('Données projet'!$A$114&gt;35,BY30+BX31-CG30,IF(A31&lt;'Données projet'!$A$114,$BV$205^A31,IF(A31='Données projet'!$A$114,'Données projet'!$B$114,BY30+BX31-CG30)))</f>
        <v>75.256410256410263</v>
      </c>
      <c r="BZ31" s="14">
        <f>BY31*VLOOKUP('Données projet'!$B$12,Paramètres!$A$1:$I$89,3,0)*VLOOKUP('Données projet'!$B$12,Paramètres!$A$1:$I$89,5,0)</f>
        <v>81.006</v>
      </c>
      <c r="CA31" s="14">
        <f t="shared" si="39"/>
        <v>22.382977176937434</v>
      </c>
      <c r="CB31" s="22">
        <f t="shared" si="10"/>
        <v>180.0691352498327</v>
      </c>
      <c r="CC31" s="62">
        <f t="shared" si="11"/>
        <v>403.68637747028276</v>
      </c>
      <c r="CD31" s="62">
        <f ca="1">AVERAGE(OFFSET($CC$3,0,0,'Données projet'!$E$12+1,1))-AVERAGE(OFFSET($H$3,0,0,'Données projet'!$E$12+1,1))</f>
        <v>441.30518831297212</v>
      </c>
      <c r="CE31" s="62">
        <f t="shared" si="40"/>
        <v>270.42872405271851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51.65318727224394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9.8000000000000007</v>
      </c>
      <c r="CT31" s="13">
        <f>IF('Données projet'!$A$140&gt;35,CT30+CS31-DB30,IF(A31&lt;'Données projet'!$A$140,$CQ$205^A31,IF(A31='Données projet'!$A$140,'Données projet'!$B$140,CT30+CS31-DB30)))</f>
        <v>94.399999999999991</v>
      </c>
      <c r="CU31" s="18">
        <f>CT31*VLOOKUP('Données projet'!$B$13,Paramètres!$A$1:$I$89,3,0)*VLOOKUP('Données projet'!$B$13,Paramètres!$A$1:$I$89,5,0)</f>
        <v>82.467839999999995</v>
      </c>
      <c r="CV31" s="14">
        <f t="shared" si="41"/>
        <v>22.739512759227473</v>
      </c>
      <c r="CW31" s="22">
        <f t="shared" si="13"/>
        <v>183.23613938898782</v>
      </c>
      <c r="CX31" s="62">
        <f t="shared" si="14"/>
        <v>406.85338160943786</v>
      </c>
      <c r="CY31" s="62">
        <f ca="1">AVERAGE(OFFSET($CX$3,0,0,'Données projet'!$E$13+1,1))-AVERAGE(OFFSET($H$3,0,0,'Données projet'!$E$13+1,1))</f>
        <v>310.81258463659196</v>
      </c>
      <c r="CZ31" s="62">
        <f t="shared" si="42"/>
        <v>287.31099756692083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51.65318727224394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4.9999999999999982</v>
      </c>
      <c r="DO31" s="13">
        <f>IF('Données projet'!$A$166&gt;35,DO30+DN31-DW30,IF(A31&lt;'Données projet'!$A$166,$DL$205^A31,IF(A31='Données projet'!$A$166,'Données projet'!$B$166,DO30+DN31-DW30)))</f>
        <v>75.256410256410263</v>
      </c>
      <c r="DP31" s="18">
        <f>DO31*VLOOKUP('Données projet'!$B$14,Paramètres!$A$1:$I$89,3,0)*VLOOKUP('Données projet'!$B$14,Paramètres!$A$1:$I$89,5,0)</f>
        <v>78.658000000000015</v>
      </c>
      <c r="DQ31" s="14">
        <f t="shared" si="43"/>
        <v>21.808735783232525</v>
      </c>
      <c r="DR31" s="22">
        <f t="shared" si="16"/>
        <v>174.97956482246332</v>
      </c>
      <c r="DS31" s="62">
        <f t="shared" si="17"/>
        <v>398.59680704291338</v>
      </c>
      <c r="DT31" s="62">
        <f ca="1">AVERAGE(OFFSET($DS$3,0,0,'Données projet'!$E$14+1,1))-AVERAGE(OFFSET($H$3,0,0,'Données projet'!$E$14+1,1))</f>
        <v>431.19274104373625</v>
      </c>
      <c r="DU31" s="62">
        <f t="shared" si="44"/>
        <v>264.67919175178133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51.65318727224394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3.4425641025641025</v>
      </c>
      <c r="EJ31" s="13">
        <f>IF('Données projet'!$A$192&gt;35,EJ30+EI31-ER30,IF(A31&lt;'Données projet'!$A$192,$EG$205^A31,IF(A31='Données projet'!$A$192,'Données projet'!$B$192,EJ30+EI31-ER30)))</f>
        <v>75.81172952673181</v>
      </c>
      <c r="EK31" s="18">
        <f>EJ31*VLOOKUP('Données projet'!$B$15,Paramètres!$A$1:$I$89,3,0)*VLOOKUP('Données projet'!$B$15,Paramètres!$A$1:$I$89,5,0)</f>
        <v>35.479889418510488</v>
      </c>
      <c r="EL31" s="14">
        <f t="shared" si="45"/>
        <v>10.7923591061602</v>
      </c>
      <c r="EM31" s="22">
        <f t="shared" si="19"/>
        <v>80.590832847134777</v>
      </c>
      <c r="EN31" s="62">
        <f t="shared" si="20"/>
        <v>304.20807506758479</v>
      </c>
      <c r="EO31" s="62">
        <f ca="1">AVERAGE(OFFSET($EN$3,0,0,'Données projet'!$E$15+1,1))-AVERAGE(OFFSET($H$3,0,0,'Données projet'!$E$15+1,1))</f>
        <v>291.68530745507815</v>
      </c>
      <c r="EP31" s="62">
        <f t="shared" si="46"/>
        <v>175.95121106728979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51.65318727224394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6.6</v>
      </c>
      <c r="FE31" s="13">
        <f>IF('Données projet'!$A$218&gt;35,FE30+FD31-FM30,IF(A31&lt;'Données projet'!$A$218,$FB$205^A31,IF(A31='Données projet'!$A$218,'Données projet'!$B$218,FE30+FD31-FM30)))</f>
        <v>99.799999999999955</v>
      </c>
      <c r="FF31" s="18">
        <f>FE31*VLOOKUP('Données projet'!$B$16,Paramètres!$A$1:$I$89,3,0)*VLOOKUP('Données projet'!$B$16,Paramètres!$A$1:$I$89,5,0)</f>
        <v>65.388959999999969</v>
      </c>
      <c r="FG31" s="14">
        <f t="shared" si="47"/>
        <v>18.523872336801272</v>
      </c>
      <c r="FH31" s="22">
        <f t="shared" si="22"/>
        <v>146.14818298659551</v>
      </c>
      <c r="FI31" s="62">
        <f t="shared" si="23"/>
        <v>369.76542520704555</v>
      </c>
      <c r="FJ31" s="62">
        <f ca="1">AVERAGE(OFFSET($FI$3,0,0,'Données projet'!$E$16+1,1))-AVERAGE(OFFSET($H$3,0,0,'Données projet'!$E$16+1,1))</f>
        <v>248.75689726928428</v>
      </c>
      <c r="FK31" s="62">
        <f t="shared" si="48"/>
        <v>232.02291680388336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projet'!$B$16,Paramètres!$A$1:$I$89,3,0)*0.475*44/12</f>
        <v>0</v>
      </c>
      <c r="FR31" s="23">
        <f>EXP(-LN(2)/25)*FR30+(1-EXP(-LN(2)/25))/(LN(2)/25)*Calculateur!FM31*Calculateur!FO31*VLOOKUP('Données projet'!$B$16,Paramètres!$A$1:$I$89,3,0)*0.475*44/12</f>
        <v>0</v>
      </c>
      <c r="FS31" s="23">
        <f>EXP(-LN(2)/2)*FS30+(1-EXP(-LN(2)/2))/(LN(2)/2)*FM31*FP31*VLOOKUP('Données projet'!$B$16,Paramètres!$A$1:$I$89,3,0)*0.475*44/12</f>
        <v>0</v>
      </c>
      <c r="FT31" s="24">
        <f t="shared" si="24"/>
        <v>0</v>
      </c>
      <c r="FU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51.65318727224394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5</v>
      </c>
      <c r="FZ31" s="13">
        <f>IF('Données projet'!$A$244&gt;35,FZ30+FY31-GH30,IF(A31&lt;'Données projet'!$A$244,$FW$205^A31,IF(A31='Données projet'!$A$244,'Données projet'!$B$244,FZ30+FY31-GH30)))</f>
        <v>122.13441909486748</v>
      </c>
      <c r="GA31" s="18">
        <f>FZ31*VLOOKUP('Données projet'!$B$17,Paramètres!$A$1:$I$89,3,0)*VLOOKUP('Données projet'!$B$17,Paramètres!$A$1:$I$89,5,0)</f>
        <v>73.036382618730755</v>
      </c>
      <c r="GB31" s="14">
        <f t="shared" si="49"/>
        <v>20.425624829764068</v>
      </c>
      <c r="GC31" s="22">
        <f t="shared" si="25"/>
        <v>162.77966297279517</v>
      </c>
      <c r="GD31" s="62">
        <f t="shared" si="26"/>
        <v>386.39690519324517</v>
      </c>
      <c r="GE31" s="62">
        <f ca="1">AVERAGE(OFFSET($GD$3,0,0,'Données projet'!$E$17+1,1))-AVERAGE(OFFSET($H$3,0,0,'Données projet'!$E$17+1,1))</f>
        <v>315.909549580511</v>
      </c>
      <c r="GF31" s="62">
        <f t="shared" si="50"/>
        <v>208.56856525402051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projet'!$B$17,Paramètres!$A$1:$I$89,3,0)*0.475*44/12</f>
        <v>0</v>
      </c>
      <c r="GM31" s="23">
        <f>EXP(-LN(2)/25)*GM30+(1-EXP(-LN(2)/25))/(LN(2)/25)*Calculateur!GH31*Calculateur!GJ31*VLOOKUP('Données projet'!$B$17,Paramètres!$A$1:$I$89,3,0)*0.475*44/12</f>
        <v>0</v>
      </c>
      <c r="GN31" s="23">
        <f>EXP(-LN(2)/2)*GN30+(1-EXP(-LN(2)/2))/(LN(2)/2)*GH31*GK31*VLOOKUP('Données projet'!$B$17,Paramètres!$A$1:$I$89,3,0)*0.475*44/12</f>
        <v>0</v>
      </c>
      <c r="GO31" s="23">
        <f t="shared" si="27"/>
        <v>0</v>
      </c>
      <c r="GP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51.65318727224394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5.3846153846153841</v>
      </c>
      <c r="GU31" s="13">
        <f>IF('Données projet'!$A$270&gt;35,GU30+GT31-HC30,IF(A31&lt;'Données projet'!$A$270,$GR$205^A31,IF(A31='Données projet'!$A$270,'Données projet'!$B$270,GU30+GT31-HC30)))</f>
        <v>58.461538461538453</v>
      </c>
      <c r="GV31" s="18">
        <f>GU31*VLOOKUP('Données projet'!$B$18,Paramètres!$A$1:$I$89,3,0)*VLOOKUP('Données projet'!$B$18,Paramètres!$A$1:$I$89,5,0)</f>
        <v>39.215999999999994</v>
      </c>
      <c r="GW31" s="14">
        <f t="shared" si="51"/>
        <v>11.790608832439103</v>
      </c>
      <c r="GX31" s="22">
        <f t="shared" si="28"/>
        <v>88.83651038316475</v>
      </c>
      <c r="GY31" s="62">
        <f t="shared" si="29"/>
        <v>312.45375260361482</v>
      </c>
      <c r="GZ31" s="62">
        <f ca="1">AVERAGE(OFFSET($GY$3,0,0,'Données projet'!$E$18+1,1))-AVERAGE(OFFSET($H$3,0,0,'Données projet'!$E$18+1,1))</f>
        <v>254.35742752782755</v>
      </c>
      <c r="HA31" s="62">
        <f t="shared" si="52"/>
        <v>171.79611712137395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>
        <f>EXP(-LN(2)/35)*HG30+(1-EXP(-LN(2)/35))/(LN(2)/35)*HC31*HD31*VLOOKUP('Données projet'!$B$18,Paramètres!$A$1:$I$89,3,0)*0.475*44/12</f>
        <v>0</v>
      </c>
      <c r="HH31" s="23">
        <f>EXP(-LN(2)/25)*HH30+(1-EXP(-LN(2)/25))/(LN(2)/25)*Calculateur!HC31*Calculateur!HE31*VLOOKUP('Données projet'!$B$18,Paramètres!$A$1:$I$89,3,0)*0.475*44/12</f>
        <v>0</v>
      </c>
      <c r="HI31" s="23">
        <f>EXP(-LN(2)/2)*HI30+(1-EXP(-LN(2)/2))/(LN(2)/2)*HC31*HF31*VLOOKUP('Données projet'!$B$18,Paramètres!$A$1:$I$89,3,0)*0.475*44/12</f>
        <v>0</v>
      </c>
      <c r="HJ31" s="24">
        <f t="shared" si="30"/>
        <v>0</v>
      </c>
    </row>
    <row r="32" spans="1:218" s="5" customFormat="1" x14ac:dyDescent="0.3">
      <c r="A32" s="11">
        <f t="shared" si="31"/>
        <v>29</v>
      </c>
      <c r="B32" s="76">
        <f>'Scénario référence'!$B$16*5+'Scénario référence'!$B$17*0+'Scénario référence'!$B$18*5</f>
        <v>3.9405000000000001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14.448500000000001</v>
      </c>
      <c r="H32" s="69">
        <f t="shared" si="1"/>
        <v>161.30656666666667</v>
      </c>
      <c r="I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51.971463455742089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5.6261538461538461</v>
      </c>
      <c r="N32" s="14">
        <f>IF('Données projet'!$A$36&gt;35,N31+M32-V31,IF(A32&lt;'Données projet'!$A$36,$K$205^A32,IF(A32='Données projet'!$A$36,'Données projet'!$B$36,N31+M32-V31)))</f>
        <v>81.04307692307691</v>
      </c>
      <c r="O32" s="14">
        <f>N32*VLOOKUP('Données projet'!$B$9,Paramètres!$A$1:$I$89,3,0)*VLOOKUP('Données projet'!$B$9,Paramètres!$A$1:$I$89,5,0)</f>
        <v>47.410199999999996</v>
      </c>
      <c r="P32" s="14">
        <f t="shared" si="33"/>
        <v>13.94287635938028</v>
      </c>
      <c r="Q32" s="22">
        <f t="shared" si="2"/>
        <v>106.85660799258731</v>
      </c>
      <c r="R32" s="62">
        <f t="shared" si="0"/>
        <v>332.86308510808607</v>
      </c>
      <c r="S32" s="62">
        <f ca="1">AVERAGE(OFFSET($R$3,0,0,'Données projet'!$E$9+1,1))-AVERAGE(OFFSET($H$3,0,0,'Données projet'!$E$9+1,1))</f>
        <v>210.54472399593521</v>
      </c>
      <c r="T32" s="62">
        <f t="shared" si="34"/>
        <v>181.14158435194193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51.971463455742089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4.4800000000000013</v>
      </c>
      <c r="AI32" s="14">
        <f>IF('Données projet'!$A$62&gt;35,AI31+AH32-AQ31,IF(A32&lt;'Données projet'!$A$62,$AF$205^A32,IF(A32='Données projet'!$A$62,'Données projet'!$B$62,AI31+AH32-AQ31)))</f>
        <v>127.32000000000001</v>
      </c>
      <c r="AJ32" s="14">
        <f>AI32*VLOOKUP('Données projet'!$B$10,Paramètres!$A$1:$I$89,3,0)*VLOOKUP('Données projet'!$B$10,Paramètres!$A$1:$I$89,5,0)</f>
        <v>66.206400000000002</v>
      </c>
      <c r="AK32" s="14">
        <f t="shared" si="35"/>
        <v>18.72833984706061</v>
      </c>
      <c r="AL32" s="22">
        <f t="shared" si="4"/>
        <v>147.92800523363056</v>
      </c>
      <c r="AM32" s="62">
        <f t="shared" si="5"/>
        <v>373.93448234912933</v>
      </c>
      <c r="AN32" s="62">
        <f ca="1">AVERAGE(OFFSET($AM$3,0,0,'Données projet'!$E$10+1,1))-AVERAGE(OFFSET($H$3,0,0,'Données projet'!$E$10+1,1))</f>
        <v>289.05608923588198</v>
      </c>
      <c r="AO32" s="62">
        <f t="shared" si="36"/>
        <v>220.06639020312738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51.971463455742089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1.9887500000000009</v>
      </c>
      <c r="BD32" s="13">
        <f>IF('Données projet'!$A$88&gt;35,BD31+BC32-BL31,IF(A32&lt;'Données projet'!$A$88,$BA$205^A32,IF(A32='Données projet'!$A$88,'Données projet'!$B$88,BD31+BC32-BL31)))</f>
        <v>52.798750000000034</v>
      </c>
      <c r="BE32" s="14">
        <f>BD32*VLOOKUP('Données projet'!$B$11,Paramètres!$A$1:$I$89,3,0)*VLOOKUP('Données projet'!$B$11,Paramètres!$A$1:$I$89,5,0)</f>
        <v>60.824160000000035</v>
      </c>
      <c r="BF32" s="14">
        <f t="shared" si="37"/>
        <v>17.376476782758175</v>
      </c>
      <c r="BG32" s="22">
        <f t="shared" si="7"/>
        <v>136.19944239663721</v>
      </c>
      <c r="BH32" s="62">
        <f t="shared" si="8"/>
        <v>362.20591951213601</v>
      </c>
      <c r="BI32" s="62">
        <f ca="1">AVERAGE(OFFSET($BH$3,0,0,'Données projet'!$E$11+1,1))-AVERAGE(OFFSET($H$3,0,0,'Données projet'!$E$11+1,1))</f>
        <v>299.54950406029354</v>
      </c>
      <c r="BJ32" s="62">
        <f t="shared" si="38"/>
        <v>208.26364698165739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51.971463455742089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4.9999999999999982</v>
      </c>
      <c r="BY32" s="13">
        <f>IF('Données projet'!$A$114&gt;35,BY31+BX32-CG31,IF(A32&lt;'Données projet'!$A$114,$BV$205^A32,IF(A32='Données projet'!$A$114,'Données projet'!$B$114,BY31+BX32-CG31)))</f>
        <v>80.256410256410263</v>
      </c>
      <c r="BZ32" s="14">
        <f>BY32*VLOOKUP('Données projet'!$B$12,Paramètres!$A$1:$I$89,3,0)*VLOOKUP('Données projet'!$B$12,Paramètres!$A$1:$I$89,5,0)</f>
        <v>86.388000000000005</v>
      </c>
      <c r="CA32" s="14">
        <f t="shared" si="39"/>
        <v>23.692031775390987</v>
      </c>
      <c r="CB32" s="22">
        <f t="shared" si="10"/>
        <v>191.72272200880596</v>
      </c>
      <c r="CC32" s="62">
        <f t="shared" si="11"/>
        <v>417.72919912430473</v>
      </c>
      <c r="CD32" s="62">
        <f ca="1">AVERAGE(OFFSET($CC$3,0,0,'Données projet'!$E$12+1,1))-AVERAGE(OFFSET($H$3,0,0,'Données projet'!$E$12+1,1))</f>
        <v>441.30518831297212</v>
      </c>
      <c r="CE32" s="62">
        <f t="shared" si="40"/>
        <v>270.42872405271851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51.971463455742089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9.8000000000000007</v>
      </c>
      <c r="CT32" s="13">
        <f>IF('Données projet'!$A$140&gt;35,CT31+CS32-DB31,IF(A32&lt;'Données projet'!$A$140,$CQ$205^A32,IF(A32='Données projet'!$A$140,'Données projet'!$B$140,CT31+CS32-DB31)))</f>
        <v>104.19999999999999</v>
      </c>
      <c r="CU32" s="18">
        <f>CT32*VLOOKUP('Données projet'!$B$13,Paramètres!$A$1:$I$89,3,0)*VLOOKUP('Données projet'!$B$13,Paramètres!$A$1:$I$89,5,0)</f>
        <v>91.029119999999992</v>
      </c>
      <c r="CV32" s="14">
        <f t="shared" si="41"/>
        <v>24.813259479575809</v>
      </c>
      <c r="CW32" s="22">
        <f t="shared" si="13"/>
        <v>201.75881092692782</v>
      </c>
      <c r="CX32" s="62">
        <f t="shared" si="14"/>
        <v>427.76528804242662</v>
      </c>
      <c r="CY32" s="62">
        <f ca="1">AVERAGE(OFFSET($CX$3,0,0,'Données projet'!$E$13+1,1))-AVERAGE(OFFSET($H$3,0,0,'Données projet'!$E$13+1,1))</f>
        <v>310.81258463659196</v>
      </c>
      <c r="CZ32" s="62">
        <f t="shared" si="42"/>
        <v>287.31099756692083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51.971463455742089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4.9999999999999982</v>
      </c>
      <c r="DO32" s="13">
        <f>IF('Données projet'!$A$166&gt;35,DO31+DN32-DW31,IF(A32&lt;'Données projet'!$A$166,$DL$205^A32,IF(A32='Données projet'!$A$166,'Données projet'!$B$166,DO31+DN32-DW31)))</f>
        <v>80.256410256410263</v>
      </c>
      <c r="DP32" s="18">
        <f>DO32*VLOOKUP('Données projet'!$B$14,Paramètres!$A$1:$I$89,3,0)*VLOOKUP('Données projet'!$B$14,Paramètres!$A$1:$I$89,5,0)</f>
        <v>83.884000000000015</v>
      </c>
      <c r="DQ32" s="14">
        <f t="shared" si="43"/>
        <v>23.08420622837572</v>
      </c>
      <c r="DR32" s="22">
        <f t="shared" si="16"/>
        <v>186.30295918108774</v>
      </c>
      <c r="DS32" s="62">
        <f t="shared" si="17"/>
        <v>412.30943629658651</v>
      </c>
      <c r="DT32" s="62">
        <f ca="1">AVERAGE(OFFSET($DS$3,0,0,'Données projet'!$E$14+1,1))-AVERAGE(OFFSET($H$3,0,0,'Données projet'!$E$14+1,1))</f>
        <v>431.19274104373625</v>
      </c>
      <c r="DU32" s="62">
        <f t="shared" si="44"/>
        <v>264.67919175178133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51.971463455742089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3.4425641025641025</v>
      </c>
      <c r="EJ32" s="13">
        <f>IF('Données projet'!$A$192&gt;35,EJ31+EI32-ER31,IF(A32&lt;'Données projet'!$A$192,$EG$205^A32,IF(A32='Données projet'!$A$192,'Données projet'!$B$192,EJ31+EI32-ER31)))</f>
        <v>88.485039179856727</v>
      </c>
      <c r="EK32" s="18">
        <f>EJ32*VLOOKUP('Données projet'!$B$15,Paramètres!$A$1:$I$89,3,0)*VLOOKUP('Données projet'!$B$15,Paramètres!$A$1:$I$89,5,0)</f>
        <v>41.410998336172952</v>
      </c>
      <c r="EL32" s="14">
        <f t="shared" si="45"/>
        <v>12.371874273168087</v>
      </c>
      <c r="EM32" s="22">
        <f t="shared" si="19"/>
        <v>93.671836461268967</v>
      </c>
      <c r="EN32" s="62">
        <f t="shared" si="20"/>
        <v>319.67831357676772</v>
      </c>
      <c r="EO32" s="62">
        <f ca="1">AVERAGE(OFFSET($EN$3,0,0,'Données projet'!$E$15+1,1))-AVERAGE(OFFSET($H$3,0,0,'Données projet'!$E$15+1,1))</f>
        <v>291.68530745507815</v>
      </c>
      <c r="EP32" s="62">
        <f t="shared" si="46"/>
        <v>175.95121106728979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51.971463455742089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6.6</v>
      </c>
      <c r="FE32" s="13">
        <f>IF('Données projet'!$A$218&gt;35,FE31+FD32-FM31,IF(A32&lt;'Données projet'!$A$218,$FB$205^A32,IF(A32='Données projet'!$A$218,'Données projet'!$B$218,FE31+FD32-FM31)))</f>
        <v>106.39999999999995</v>
      </c>
      <c r="FF32" s="18">
        <f>FE32*VLOOKUP('Données projet'!$B$16,Paramètres!$A$1:$I$89,3,0)*VLOOKUP('Données projet'!$B$16,Paramètres!$A$1:$I$89,5,0)</f>
        <v>69.713279999999955</v>
      </c>
      <c r="FG32" s="14">
        <f t="shared" si="47"/>
        <v>19.602237890359675</v>
      </c>
      <c r="FH32" s="22">
        <f t="shared" si="22"/>
        <v>155.55786032570967</v>
      </c>
      <c r="FI32" s="62">
        <f t="shared" si="23"/>
        <v>381.56433744120841</v>
      </c>
      <c r="FJ32" s="62">
        <f ca="1">AVERAGE(OFFSET($FI$3,0,0,'Données projet'!$E$16+1,1))-AVERAGE(OFFSET($H$3,0,0,'Données projet'!$E$16+1,1))</f>
        <v>248.75689726928428</v>
      </c>
      <c r="FK32" s="62">
        <f t="shared" si="48"/>
        <v>232.02291680388336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projet'!$B$16,Paramètres!$A$1:$I$89,3,0)*0.475*44/12</f>
        <v>0</v>
      </c>
      <c r="FR32" s="23">
        <f>EXP(-LN(2)/25)*FR31+(1-EXP(-LN(2)/25))/(LN(2)/25)*Calculateur!FM32*Calculateur!FO32*VLOOKUP('Données projet'!$B$16,Paramètres!$A$1:$I$89,3,0)*0.475*44/12</f>
        <v>0</v>
      </c>
      <c r="FS32" s="23">
        <f>EXP(-LN(2)/2)*FS31+(1-EXP(-LN(2)/2))/(LN(2)/2)*FM32*FP32*VLOOKUP('Données projet'!$B$16,Paramètres!$A$1:$I$89,3,0)*0.475*44/12</f>
        <v>0</v>
      </c>
      <c r="FT32" s="24">
        <f t="shared" si="24"/>
        <v>0</v>
      </c>
      <c r="FU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51.971463455742089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>
        <f>VLOOKUP(A32,'Données projet'!$A$243:$I$263,2,0)</f>
        <v>145</v>
      </c>
      <c r="FX32" s="13">
        <f>VLOOKUP(A32,'Données projet'!$A$243:$I$263,9,0)</f>
        <v>5</v>
      </c>
      <c r="FY32" s="13">
        <f t="array" ref="FY32">INDEX(FX:FX,MIN(IF(ISNUMBER(FX32:FX228),ROW(FX32:FX228),"")))</f>
        <v>5</v>
      </c>
      <c r="FZ32" s="13">
        <f>IF('Données projet'!$A$244&gt;35,FZ31+FY32-GH31,IF(A32&lt;'Données projet'!$A$244,$FW$205^A32,IF(A32='Données projet'!$A$244,'Données projet'!$B$244,FZ31+FY32-GH31)))</f>
        <v>145</v>
      </c>
      <c r="GA32" s="18">
        <f>FZ32*VLOOKUP('Données projet'!$B$17,Paramètres!$A$1:$I$89,3,0)*VLOOKUP('Données projet'!$B$17,Paramètres!$A$1:$I$89,5,0)</f>
        <v>86.710000000000008</v>
      </c>
      <c r="GB32" s="14">
        <f t="shared" si="49"/>
        <v>23.770044666555087</v>
      </c>
      <c r="GC32" s="22">
        <f t="shared" si="25"/>
        <v>192.41941112758346</v>
      </c>
      <c r="GD32" s="62">
        <f t="shared" si="26"/>
        <v>418.42588824308223</v>
      </c>
      <c r="GE32" s="62">
        <f ca="1">AVERAGE(OFFSET($GD$3,0,0,'Données projet'!$E$17+1,1))-AVERAGE(OFFSET($H$3,0,0,'Données projet'!$E$17+1,1))</f>
        <v>315.909549580511</v>
      </c>
      <c r="GF32" s="62">
        <f t="shared" si="50"/>
        <v>208.56856525402051</v>
      </c>
      <c r="GG32" s="16">
        <f>IF(ISNA(VLOOKUP(A32,'Données projet'!$A$243:$I$263,3,0)),0,VLOOKUP(A32,'Données projet'!$A$243:$I$263,3,0))</f>
        <v>1</v>
      </c>
      <c r="GH32" s="16">
        <f>IF(ISNA(VLOOKUP(A32,'Données projet'!$A$243:$I$263,4,0)),0,VLOOKUP(A32,'Données projet'!$A$243:$I$263,4,0))</f>
        <v>52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>
        <f>EXP(-LN(2)/35)*GL31+(1-EXP(-LN(2)/35))/(LN(2)/35)*GH32*GI32*VLOOKUP('Données projet'!$B$17,Paramètres!$A$1:$I$89,3,0)*0.475*44/12</f>
        <v>0</v>
      </c>
      <c r="GM32" s="23">
        <f>EXP(-LN(2)/25)*GM31+(1-EXP(-LN(2)/25))/(LN(2)/25)*Calculateur!GH32*Calculateur!GJ32*VLOOKUP('Données projet'!$B$17,Paramètres!$A$1:$I$89,3,0)*0.475*44/12</f>
        <v>0</v>
      </c>
      <c r="GN32" s="23">
        <f>EXP(-LN(2)/2)*GN31+(1-EXP(-LN(2)/2))/(LN(2)/2)*GH32*GK32*VLOOKUP('Données projet'!$B$17,Paramètres!$A$1:$I$89,3,0)*0.475*44/12</f>
        <v>0</v>
      </c>
      <c r="GO32" s="23">
        <f t="shared" si="27"/>
        <v>0</v>
      </c>
      <c r="GP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51.971463455742089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5.3846153846153841</v>
      </c>
      <c r="GU32" s="13">
        <f>IF('Données projet'!$A$270&gt;35,GU31+GT32-HC31,IF(A32&lt;'Données projet'!$A$270,$GR$205^A32,IF(A32='Données projet'!$A$270,'Données projet'!$B$270,GU31+GT32-HC31)))</f>
        <v>63.84615384615384</v>
      </c>
      <c r="GV32" s="18">
        <f>GU32*VLOOKUP('Données projet'!$B$18,Paramètres!$A$1:$I$89,3,0)*VLOOKUP('Données projet'!$B$18,Paramètres!$A$1:$I$89,5,0)</f>
        <v>42.827999999999996</v>
      </c>
      <c r="GW32" s="14">
        <f t="shared" si="51"/>
        <v>12.745202604948473</v>
      </c>
      <c r="GX32" s="22">
        <f t="shared" si="28"/>
        <v>96.789994536951909</v>
      </c>
      <c r="GY32" s="62">
        <f t="shared" si="29"/>
        <v>322.79647165245069</v>
      </c>
      <c r="GZ32" s="62">
        <f ca="1">AVERAGE(OFFSET($GY$3,0,0,'Données projet'!$E$18+1,1))-AVERAGE(OFFSET($H$3,0,0,'Données projet'!$E$18+1,1))</f>
        <v>254.35742752782755</v>
      </c>
      <c r="HA32" s="62">
        <f t="shared" si="52"/>
        <v>171.79611712137395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>
        <f>EXP(-LN(2)/35)*HG31+(1-EXP(-LN(2)/35))/(LN(2)/35)*HC32*HD32*VLOOKUP('Données projet'!$B$18,Paramètres!$A$1:$I$89,3,0)*0.475*44/12</f>
        <v>0</v>
      </c>
      <c r="HH32" s="23">
        <f>EXP(-LN(2)/25)*HH31+(1-EXP(-LN(2)/25))/(LN(2)/25)*Calculateur!HC32*Calculateur!HE32*VLOOKUP('Données projet'!$B$18,Paramètres!$A$1:$I$89,3,0)*0.475*44/12</f>
        <v>0</v>
      </c>
      <c r="HI32" s="23">
        <f>EXP(-LN(2)/2)*HI31+(1-EXP(-LN(2)/2))/(LN(2)/2)*HC32*HF32*VLOOKUP('Données projet'!$B$18,Paramètres!$A$1:$I$89,3,0)*0.475*44/12</f>
        <v>0</v>
      </c>
      <c r="HJ32" s="24">
        <f t="shared" si="30"/>
        <v>0</v>
      </c>
    </row>
    <row r="33" spans="1:218" s="5" customFormat="1" x14ac:dyDescent="0.3">
      <c r="A33" s="11">
        <f t="shared" si="31"/>
        <v>30</v>
      </c>
      <c r="B33" s="76">
        <f>'Scénario référence'!$B$16*5+'Scénario référence'!$B$17*0+'Scénario référence'!$B$18*5</f>
        <v>3.9405000000000001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14.448500000000001</v>
      </c>
      <c r="H33" s="69">
        <f t="shared" si="1"/>
        <v>161.30656666666667</v>
      </c>
      <c r="I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52.284218259015496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86.669230769230765</v>
      </c>
      <c r="L33" s="13">
        <f>VLOOKUP(A33,'Données projet'!$A$35:$I$55,9,0)</f>
        <v>5.6261538461538461</v>
      </c>
      <c r="M33" s="13">
        <f t="array" ref="M33">INDEX(L:L,MIN(IF(ISNUMBER(L33:L229),ROW(L33:L229),"")))</f>
        <v>5.6261538461538461</v>
      </c>
      <c r="N33" s="14">
        <f>IF('Données projet'!$A$36&gt;35,N32+M33-V32,IF(A33&lt;'Données projet'!$A$36,$K$205^A33,IF(A33='Données projet'!$A$36,'Données projet'!$B$36,N32+M33-V32)))</f>
        <v>86.669230769230751</v>
      </c>
      <c r="O33" s="14">
        <f>N33*VLOOKUP('Données projet'!$B$9,Paramètres!$A$1:$I$89,3,0)*VLOOKUP('Données projet'!$B$9,Paramètres!$A$1:$I$89,5,0)</f>
        <v>50.701499999999996</v>
      </c>
      <c r="P33" s="14">
        <f t="shared" si="33"/>
        <v>14.794777934288117</v>
      </c>
      <c r="Q33" s="22">
        <f t="shared" si="2"/>
        <v>114.07268406888512</v>
      </c>
      <c r="R33" s="62">
        <f t="shared" si="0"/>
        <v>342.4481510186086</v>
      </c>
      <c r="S33" s="62">
        <f ca="1">AVERAGE(OFFSET($R$3,0,0,'Données projet'!$E$9+1,1))-AVERAGE(OFFSET($H$3,0,0,'Données projet'!$E$9+1,1))</f>
        <v>210.54472399593521</v>
      </c>
      <c r="T33" s="62">
        <f t="shared" si="34"/>
        <v>181.14158435194193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52.284218259015496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131.80000000000001</v>
      </c>
      <c r="AG33" s="13">
        <f>VLOOKUP(A33,'Données projet'!$A$61:$I$81,9,0)</f>
        <v>4.4800000000000013</v>
      </c>
      <c r="AH33" s="13">
        <f t="array" ref="AH33">INDEX(AG:AG,MIN(IF(ISNUMBER(AG33:AG229),ROW(AG33:AG229),"")))</f>
        <v>4.4800000000000013</v>
      </c>
      <c r="AI33" s="14">
        <f>IF('Données projet'!$A$62&gt;35,AI32+AH33-AQ32,IF(A33&lt;'Données projet'!$A$62,$AF$205^A33,IF(A33='Données projet'!$A$62,'Données projet'!$B$62,AI32+AH33-AQ32)))</f>
        <v>131.80000000000001</v>
      </c>
      <c r="AJ33" s="14">
        <f>AI33*VLOOKUP('Données projet'!$B$10,Paramètres!$A$1:$I$89,3,0)*VLOOKUP('Données projet'!$B$10,Paramètres!$A$1:$I$89,5,0)</f>
        <v>68.536000000000016</v>
      </c>
      <c r="AK33" s="14">
        <f t="shared" si="35"/>
        <v>19.309448757935254</v>
      </c>
      <c r="AL33" s="22">
        <f t="shared" si="4"/>
        <v>152.99748992007059</v>
      </c>
      <c r="AM33" s="62">
        <f t="shared" si="5"/>
        <v>381.37295686979405</v>
      </c>
      <c r="AN33" s="62">
        <f ca="1">AVERAGE(OFFSET($AM$3,0,0,'Données projet'!$E$10+1,1))-AVERAGE(OFFSET($H$3,0,0,'Données projet'!$E$10+1,1))</f>
        <v>289.05608923588198</v>
      </c>
      <c r="AO33" s="62">
        <f t="shared" si="36"/>
        <v>220.06639020312738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52.284218259015496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54.787500000000009</v>
      </c>
      <c r="BB33" s="13">
        <f>VLOOKUP(A33,'Données projet'!$A$87:$I$107,9,0)</f>
        <v>1.9887500000000009</v>
      </c>
      <c r="BC33" s="13">
        <f t="array" ref="BC33">INDEX(BB:BB,MIN(IF(ISNUMBER(BB33:BB229),ROW(BB33:BB229),"")))</f>
        <v>1.9887500000000009</v>
      </c>
      <c r="BD33" s="13">
        <f>IF('Données projet'!$A$88&gt;35,BD32+BC33-BL32,IF(A33&lt;'Données projet'!$A$88,$BA$205^A33,IF(A33='Données projet'!$A$88,'Données projet'!$B$88,BD32+BC33-BL32)))</f>
        <v>54.787500000000037</v>
      </c>
      <c r="BE33" s="14">
        <f>BD33*VLOOKUP('Données projet'!$B$11,Paramètres!$A$1:$I$89,3,0)*VLOOKUP('Données projet'!$B$11,Paramètres!$A$1:$I$89,5,0)</f>
        <v>63.115200000000037</v>
      </c>
      <c r="BF33" s="14">
        <f t="shared" si="37"/>
        <v>17.953554085320896</v>
      </c>
      <c r="BG33" s="22">
        <f t="shared" si="7"/>
        <v>141.19474669860062</v>
      </c>
      <c r="BH33" s="62">
        <f t="shared" si="8"/>
        <v>369.57021364832406</v>
      </c>
      <c r="BI33" s="62">
        <f ca="1">AVERAGE(OFFSET($BH$3,0,0,'Données projet'!$E$11+1,1))-AVERAGE(OFFSET($H$3,0,0,'Données projet'!$E$11+1,1))</f>
        <v>299.54950406029354</v>
      </c>
      <c r="BJ33" s="62">
        <f t="shared" si="38"/>
        <v>208.26364698165739</v>
      </c>
      <c r="BK33" s="16">
        <f>IF(ISNA(VLOOKUP(A33,'Données projet'!$A$87:$I$107,3,0)),0,VLOOKUP(A33,'Données projet'!$A$87:$I$107,3,0))</f>
        <v>1</v>
      </c>
      <c r="BL33" s="16">
        <f>IF(ISNA(VLOOKUP(A33,'Données projet'!$A$87:$I$107,4,0)),0,VLOOKUP(A33,'Données projet'!$A$87:$I$107,4,0))</f>
        <v>11.375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52.284218259015496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85.256410256410248</v>
      </c>
      <c r="BW33" s="13">
        <f>VLOOKUP(A33,'Données projet'!$A$113:$I$133,9,0)</f>
        <v>4.9999999999999982</v>
      </c>
      <c r="BX33" s="13">
        <f t="array" ref="BX33">INDEX(BW:BW,MIN(IF(ISNUMBER(BW33:BW229),ROW(BW33:BW229),"")))</f>
        <v>4.9999999999999982</v>
      </c>
      <c r="BY33" s="13">
        <f>IF('Données projet'!$A$114&gt;35,BY32+BX33-CG32,IF(A33&lt;'Données projet'!$A$114,$BV$205^A33,IF(A33='Données projet'!$A$114,'Données projet'!$B$114,BY32+BX33-CG32)))</f>
        <v>85.256410256410263</v>
      </c>
      <c r="BZ33" s="14">
        <f>BY33*VLOOKUP('Données projet'!$B$12,Paramètres!$A$1:$I$89,3,0)*VLOOKUP('Données projet'!$B$12,Paramètres!$A$1:$I$89,5,0)</f>
        <v>91.77000000000001</v>
      </c>
      <c r="CA33" s="14">
        <f t="shared" si="39"/>
        <v>24.991621303155043</v>
      </c>
      <c r="CB33" s="22">
        <f t="shared" si="10"/>
        <v>203.35982376966172</v>
      </c>
      <c r="CC33" s="62">
        <f t="shared" si="11"/>
        <v>431.73529071938515</v>
      </c>
      <c r="CD33" s="62">
        <f ca="1">AVERAGE(OFFSET($CC$3,0,0,'Données projet'!$E$12+1,1))-AVERAGE(OFFSET($H$3,0,0,'Données projet'!$E$12+1,1))</f>
        <v>441.30518831297212</v>
      </c>
      <c r="CE33" s="62">
        <f t="shared" si="40"/>
        <v>270.42872405271851</v>
      </c>
      <c r="CF33" s="16">
        <f>IF(ISNA(VLOOKUP(A33,'Données projet'!$A$113:$I$133,3,0)),0,VLOOKUP(A33,'Données projet'!$A$113:$I$133,3,0))</f>
        <v>1</v>
      </c>
      <c r="CG33" s="16">
        <f>IF(ISNA(VLOOKUP(A33,'Données projet'!$A$113:$I$133,4,0)),0,VLOOKUP(A33,'Données projet'!$A$113:$I$133,4,0))</f>
        <v>17.307692307692307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52.284218259015496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114</v>
      </c>
      <c r="CR33" s="13">
        <f>VLOOKUP(A33,'Données projet'!$A$139:$I$159,9,0)</f>
        <v>9.8000000000000007</v>
      </c>
      <c r="CS33" s="13">
        <f t="array" ref="CS33">INDEX(CR:CR,MIN(IF(ISNUMBER(CR33:CR229),ROW(CR33:CR229),"")))</f>
        <v>9.8000000000000007</v>
      </c>
      <c r="CT33" s="13">
        <f>IF('Données projet'!$A$140&gt;35,CT32+CS33-DB32,IF(A33&lt;'Données projet'!$A$140,$CQ$205^A33,IF(A33='Données projet'!$A$140,'Données projet'!$B$140,CT32+CS33-DB32)))</f>
        <v>113.99999999999999</v>
      </c>
      <c r="CU33" s="18">
        <f>CT33*VLOOKUP('Données projet'!$B$13,Paramètres!$A$1:$I$89,3,0)*VLOOKUP('Données projet'!$B$13,Paramètres!$A$1:$I$89,5,0)</f>
        <v>99.590400000000002</v>
      </c>
      <c r="CV33" s="14">
        <f t="shared" si="41"/>
        <v>26.864392698869324</v>
      </c>
      <c r="CW33" s="22">
        <f t="shared" si="13"/>
        <v>220.24209728386407</v>
      </c>
      <c r="CX33" s="62">
        <f t="shared" si="14"/>
        <v>448.61756423358753</v>
      </c>
      <c r="CY33" s="62">
        <f ca="1">AVERAGE(OFFSET($CX$3,0,0,'Données projet'!$E$13+1,1))-AVERAGE(OFFSET($H$3,0,0,'Données projet'!$E$13+1,1))</f>
        <v>310.81258463659196</v>
      </c>
      <c r="CZ33" s="62">
        <f t="shared" si="42"/>
        <v>287.31099756692083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52.284218259015496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85.256410256410248</v>
      </c>
      <c r="DM33" s="13">
        <f>VLOOKUP(A33,'Données projet'!$A$165:$I$185,9,0)</f>
        <v>4.9999999999999982</v>
      </c>
      <c r="DN33" s="13">
        <f t="array" ref="DN33">INDEX(DM:DM,MIN(IF(ISNUMBER(DM33:DM229),ROW(DM33:DM229),"")))</f>
        <v>4.9999999999999982</v>
      </c>
      <c r="DO33" s="13">
        <f>IF('Données projet'!$A$166&gt;35,DO32+DN33-DW32,IF(A33&lt;'Données projet'!$A$166,$DL$205^A33,IF(A33='Données projet'!$A$166,'Données projet'!$B$166,DO32+DN33-DW32)))</f>
        <v>85.256410256410263</v>
      </c>
      <c r="DP33" s="18">
        <f>DO33*VLOOKUP('Données projet'!$B$14,Paramètres!$A$1:$I$89,3,0)*VLOOKUP('Données projet'!$B$14,Paramètres!$A$1:$I$89,5,0)</f>
        <v>89.110000000000014</v>
      </c>
      <c r="DQ33" s="14">
        <f t="shared" si="43"/>
        <v>24.350454431803538</v>
      </c>
      <c r="DR33" s="22">
        <f t="shared" si="16"/>
        <v>197.61029146872451</v>
      </c>
      <c r="DS33" s="62">
        <f t="shared" si="17"/>
        <v>425.98575841844797</v>
      </c>
      <c r="DT33" s="62">
        <f ca="1">AVERAGE(OFFSET($DS$3,0,0,'Données projet'!$E$14+1,1))-AVERAGE(OFFSET($H$3,0,0,'Données projet'!$E$14+1,1))</f>
        <v>431.19274104373625</v>
      </c>
      <c r="DU33" s="62">
        <f t="shared" si="44"/>
        <v>264.67919175178133</v>
      </c>
      <c r="DV33" s="16">
        <f>IF(ISNA(VLOOKUP(A33,'Données projet'!$A$165:$I$185,3,0)),0,VLOOKUP(A33,'Données projet'!$A$165:$I$185,3,0))</f>
        <v>1</v>
      </c>
      <c r="DW33" s="16">
        <f>IF(ISNA(VLOOKUP(A33,'Données projet'!$A$165:$I$185,4,0)),0,VLOOKUP(A33,'Données projet'!$A$165:$I$185,4,0))</f>
        <v>17.307692307692307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52.284218259015496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103.27692307692307</v>
      </c>
      <c r="EH33" s="13">
        <f>VLOOKUP(A33,'Données projet'!$A$191:$I$211,9,0)</f>
        <v>3.4425641025641025</v>
      </c>
      <c r="EI33" s="13">
        <f t="array" ref="EI33">INDEX(EH:EH,MIN(IF(ISNUMBER(EH33:EH229),ROW(EH33:EH229),"")))</f>
        <v>3.4425641025641025</v>
      </c>
      <c r="EJ33" s="13">
        <f>IF('Données projet'!$A$192&gt;35,EJ32+EI33-ER32,IF(A33&lt;'Données projet'!$A$192,$EG$205^A33,IF(A33='Données projet'!$A$192,'Données projet'!$B$192,EJ32+EI33-ER32)))</f>
        <v>103.27692307692307</v>
      </c>
      <c r="EK33" s="18">
        <f>EJ33*VLOOKUP('Données projet'!$B$15,Paramètres!$A$1:$I$89,3,0)*VLOOKUP('Données projet'!$B$15,Paramètres!$A$1:$I$89,5,0)</f>
        <v>48.333599999999997</v>
      </c>
      <c r="EL33" s="14">
        <f t="shared" si="45"/>
        <v>14.182559301951969</v>
      </c>
      <c r="EM33" s="22">
        <f t="shared" si="19"/>
        <v>108.88231078423301</v>
      </c>
      <c r="EN33" s="62">
        <f t="shared" si="20"/>
        <v>337.25777773395646</v>
      </c>
      <c r="EO33" s="62">
        <f ca="1">AVERAGE(OFFSET($EN$3,0,0,'Données projet'!$E$15+1,1))-AVERAGE(OFFSET($H$3,0,0,'Données projet'!$E$15+1,1))</f>
        <v>291.68530745507815</v>
      </c>
      <c r="EP33" s="62">
        <f t="shared" si="46"/>
        <v>175.95121106728979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52.284218259015496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>
        <f>VLOOKUP(A33,'Données projet'!$A$217:$I$237,2,0)</f>
        <v>113</v>
      </c>
      <c r="FC33" s="13">
        <f>VLOOKUP(A33,'Données projet'!$A$217:$I$237,9,0)</f>
        <v>6.6</v>
      </c>
      <c r="FD33" s="13">
        <f t="array" ref="FD33">INDEX(FC:FC,MIN(IF(ISNUMBER(FC33:FC229),ROW(FC33:FC229),"")))</f>
        <v>6.6</v>
      </c>
      <c r="FE33" s="13">
        <f>IF('Données projet'!$A$218&gt;35,FE32+FD33-FM32,IF(A33&lt;'Données projet'!$A$218,$FB$205^A33,IF(A33='Données projet'!$A$218,'Données projet'!$B$218,FE32+FD33-FM32)))</f>
        <v>112.99999999999994</v>
      </c>
      <c r="FF33" s="18">
        <f>FE33*VLOOKUP('Données projet'!$B$16,Paramètres!$A$1:$I$89,3,0)*VLOOKUP('Données projet'!$B$16,Paramètres!$A$1:$I$89,5,0)</f>
        <v>74.037599999999955</v>
      </c>
      <c r="FG33" s="14">
        <f t="shared" si="47"/>
        <v>20.672840107651652</v>
      </c>
      <c r="FH33" s="22">
        <f t="shared" si="22"/>
        <v>164.95401652082657</v>
      </c>
      <c r="FI33" s="62">
        <f t="shared" si="23"/>
        <v>393.32948347055003</v>
      </c>
      <c r="FJ33" s="62">
        <f ca="1">AVERAGE(OFFSET($FI$3,0,0,'Données projet'!$E$16+1,1))-AVERAGE(OFFSET($H$3,0,0,'Données projet'!$E$16+1,1))</f>
        <v>248.75689726928428</v>
      </c>
      <c r="FK33" s="62">
        <f t="shared" si="48"/>
        <v>232.02291680388336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projet'!$B$16,Paramètres!$A$1:$I$89,3,0)*0.475*44/12</f>
        <v>0</v>
      </c>
      <c r="FR33" s="23">
        <f>EXP(-LN(2)/25)*FR32+(1-EXP(-LN(2)/25))/(LN(2)/25)*Calculateur!FM33*Calculateur!FO33*VLOOKUP('Données projet'!$B$16,Paramètres!$A$1:$I$89,3,0)*0.475*44/12</f>
        <v>0</v>
      </c>
      <c r="FS33" s="23">
        <f>EXP(-LN(2)/2)*FS32+(1-EXP(-LN(2)/2))/(LN(2)/2)*FM33*FP33*VLOOKUP('Données projet'!$B$16,Paramètres!$A$1:$I$89,3,0)*0.475*44/12</f>
        <v>0</v>
      </c>
      <c r="FT33" s="24">
        <f t="shared" si="24"/>
        <v>0</v>
      </c>
      <c r="FU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52.284218259015496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12.777777777777779</v>
      </c>
      <c r="FZ33" s="13">
        <f>IF('Données projet'!$A$244&gt;35,FZ32+FY33-GH32,IF(A33&lt;'Données projet'!$A$244,$FW$205^A33,IF(A33='Données projet'!$A$244,'Données projet'!$B$244,FZ32+FY33-GH32)))</f>
        <v>105.77777777777777</v>
      </c>
      <c r="GA33" s="18">
        <f>FZ33*VLOOKUP('Données projet'!$B$17,Paramètres!$A$1:$I$89,3,0)*VLOOKUP('Données projet'!$B$17,Paramètres!$A$1:$I$89,5,0)</f>
        <v>63.255111111111106</v>
      </c>
      <c r="GB33" s="14">
        <f t="shared" si="49"/>
        <v>17.988715666475738</v>
      </c>
      <c r="GC33" s="22">
        <f t="shared" si="25"/>
        <v>141.49966497096375</v>
      </c>
      <c r="GD33" s="62">
        <f t="shared" si="26"/>
        <v>369.87513192068718</v>
      </c>
      <c r="GE33" s="62">
        <f ca="1">AVERAGE(OFFSET($GD$3,0,0,'Données projet'!$E$17+1,1))-AVERAGE(OFFSET($H$3,0,0,'Données projet'!$E$17+1,1))</f>
        <v>315.909549580511</v>
      </c>
      <c r="GF33" s="62">
        <f t="shared" si="50"/>
        <v>208.56856525402051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>
        <f>EXP(-LN(2)/35)*GL32+(1-EXP(-LN(2)/35))/(LN(2)/35)*GH33*GI33*VLOOKUP('Données projet'!$B$17,Paramètres!$A$1:$I$89,3,0)*0.475*44/12</f>
        <v>0</v>
      </c>
      <c r="GM33" s="23">
        <f>EXP(-LN(2)/25)*GM32+(1-EXP(-LN(2)/25))/(LN(2)/25)*Calculateur!GH33*Calculateur!GJ33*VLOOKUP('Données projet'!$B$17,Paramètres!$A$1:$I$89,3,0)*0.475*44/12</f>
        <v>0</v>
      </c>
      <c r="GN33" s="23">
        <f>EXP(-LN(2)/2)*GN32+(1-EXP(-LN(2)/2))/(LN(2)/2)*GH33*GK33*VLOOKUP('Données projet'!$B$17,Paramètres!$A$1:$I$89,3,0)*0.475*44/12</f>
        <v>0</v>
      </c>
      <c r="GO33" s="23">
        <f t="shared" si="27"/>
        <v>0</v>
      </c>
      <c r="GP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52.284218259015496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>
        <f>VLOOKUP(A33,'Données projet'!$A$269:$I$289,2,0)</f>
        <v>69.230769230769226</v>
      </c>
      <c r="GS33" s="13">
        <f>VLOOKUP(A33,'Données projet'!$A$269:$I$289,9,0)</f>
        <v>5.3846153846153841</v>
      </c>
      <c r="GT33" s="13">
        <f t="array" ref="GT33">INDEX(GS:GS,MIN(IF(ISNUMBER(GS33:GS229),ROW(GS33:GS229),"")))</f>
        <v>5.3846153846153841</v>
      </c>
      <c r="GU33" s="13">
        <f>IF('Données projet'!$A$270&gt;35,GU32+GT33-HC32,IF(A33&lt;'Données projet'!$A$270,$GR$205^A33,IF(A33='Données projet'!$A$270,'Données projet'!$B$270,GU32+GT33-HC32)))</f>
        <v>69.230769230769226</v>
      </c>
      <c r="GV33" s="18">
        <f>GU33*VLOOKUP('Données projet'!$B$18,Paramètres!$A$1:$I$89,3,0)*VLOOKUP('Données projet'!$B$18,Paramètres!$A$1:$I$89,5,0)</f>
        <v>46.44</v>
      </c>
      <c r="GW33" s="14">
        <f t="shared" si="51"/>
        <v>13.69045942869886</v>
      </c>
      <c r="GX33" s="22">
        <f t="shared" si="28"/>
        <v>104.72721683831718</v>
      </c>
      <c r="GY33" s="62">
        <f t="shared" si="29"/>
        <v>333.10268378804062</v>
      </c>
      <c r="GZ33" s="62">
        <f ca="1">AVERAGE(OFFSET($GY$3,0,0,'Données projet'!$E$18+1,1))-AVERAGE(OFFSET($H$3,0,0,'Données projet'!$E$18+1,1))</f>
        <v>254.35742752782755</v>
      </c>
      <c r="HA33" s="62">
        <f t="shared" si="52"/>
        <v>171.79611712137395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>
        <f>EXP(-LN(2)/35)*HG32+(1-EXP(-LN(2)/35))/(LN(2)/35)*HC33*HD33*VLOOKUP('Données projet'!$B$18,Paramètres!$A$1:$I$89,3,0)*0.475*44/12</f>
        <v>0</v>
      </c>
      <c r="HH33" s="23">
        <f>EXP(-LN(2)/25)*HH32+(1-EXP(-LN(2)/25))/(LN(2)/25)*Calculateur!HC33*Calculateur!HE33*VLOOKUP('Données projet'!$B$18,Paramètres!$A$1:$I$89,3,0)*0.475*44/12</f>
        <v>0</v>
      </c>
      <c r="HI33" s="23">
        <f>EXP(-LN(2)/2)*HI32+(1-EXP(-LN(2)/2))/(LN(2)/2)*HC33*HF33*VLOOKUP('Données projet'!$B$18,Paramètres!$A$1:$I$89,3,0)*0.475*44/12</f>
        <v>0</v>
      </c>
      <c r="HJ33" s="24">
        <f t="shared" si="30"/>
        <v>0</v>
      </c>
    </row>
    <row r="34" spans="1:218" s="5" customFormat="1" x14ac:dyDescent="0.3">
      <c r="A34" s="11">
        <f t="shared" si="31"/>
        <v>31</v>
      </c>
      <c r="B34" s="76">
        <f>'Scénario référence'!$B$16*5+'Scénario référence'!$B$17*0+'Scénario référence'!$B$18*5</f>
        <v>3.9405000000000001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14.448500000000001</v>
      </c>
      <c r="H34" s="69">
        <f t="shared" si="1"/>
        <v>161.30656666666667</v>
      </c>
      <c r="I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52.591547465667098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6.5333333333333341</v>
      </c>
      <c r="N34" s="14">
        <f>IF('Données projet'!$A$36&gt;35,N33+M34-V33,IF(A34&lt;'Données projet'!$A$36,$K$205^A34,IF(A34='Données projet'!$A$36,'Données projet'!$B$36,N33+M34-V33)))</f>
        <v>93.202564102564082</v>
      </c>
      <c r="O34" s="14">
        <f>N34*VLOOKUP('Données projet'!$B$9,Paramètres!$A$1:$I$89,3,0)*VLOOKUP('Données projet'!$B$9,Paramètres!$A$1:$I$89,5,0)</f>
        <v>54.523499999999991</v>
      </c>
      <c r="P34" s="14">
        <f t="shared" si="33"/>
        <v>15.776019906965951</v>
      </c>
      <c r="Q34" s="22">
        <f t="shared" si="2"/>
        <v>122.43833050463235</v>
      </c>
      <c r="R34" s="62">
        <f t="shared" si="0"/>
        <v>351.94067121207837</v>
      </c>
      <c r="S34" s="62">
        <f ca="1">AVERAGE(OFFSET($R$3,0,0,'Données projet'!$E$9+1,1))-AVERAGE(OFFSET($H$3,0,0,'Données projet'!$E$9+1,1))</f>
        <v>210.54472399593521</v>
      </c>
      <c r="T34" s="62">
        <f t="shared" si="34"/>
        <v>181.14158435194193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52.591547465667098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4.2399999999999975</v>
      </c>
      <c r="AI34" s="14">
        <f>IF('Données projet'!$A$62&gt;35,AI33+AH34-AQ33,IF(A34&lt;'Données projet'!$A$62,$AF$205^A34,IF(A34='Données projet'!$A$62,'Données projet'!$B$62,AI33+AH34-AQ33)))</f>
        <v>136.04000000000002</v>
      </c>
      <c r="AJ34" s="14">
        <f>AI34*VLOOKUP('Données projet'!$B$10,Paramètres!$A$1:$I$89,3,0)*VLOOKUP('Données projet'!$B$10,Paramètres!$A$1:$I$89,5,0)</f>
        <v>70.740800000000021</v>
      </c>
      <c r="AK34" s="14">
        <f t="shared" si="35"/>
        <v>19.857311454987801</v>
      </c>
      <c r="AL34" s="22">
        <f t="shared" si="4"/>
        <v>157.79171078410377</v>
      </c>
      <c r="AM34" s="62">
        <f t="shared" si="5"/>
        <v>387.29405149154979</v>
      </c>
      <c r="AN34" s="62">
        <f ca="1">AVERAGE(OFFSET($AM$3,0,0,'Données projet'!$E$10+1,1))-AVERAGE(OFFSET($H$3,0,0,'Données projet'!$E$10+1,1))</f>
        <v>289.05608923588198</v>
      </c>
      <c r="AO34" s="62">
        <f t="shared" si="36"/>
        <v>220.06639020312738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52.591547465667098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1.9254166666666663</v>
      </c>
      <c r="BD34" s="13">
        <f>IF('Données projet'!$A$88&gt;35,BD33+BC34-BL33,IF(A34&lt;'Données projet'!$A$88,$BA$205^A34,IF(A34='Données projet'!$A$88,'Données projet'!$B$88,BD33+BC34-BL33)))</f>
        <v>45.3379166666667</v>
      </c>
      <c r="BE34" s="14">
        <f>BD34*VLOOKUP('Données projet'!$B$11,Paramètres!$A$1:$I$89,3,0)*VLOOKUP('Données projet'!$B$11,Paramètres!$A$1:$I$89,5,0)</f>
        <v>52.229280000000031</v>
      </c>
      <c r="BF34" s="14">
        <f t="shared" si="37"/>
        <v>15.188011234079523</v>
      </c>
      <c r="BG34" s="22">
        <f t="shared" si="7"/>
        <v>117.41844889935521</v>
      </c>
      <c r="BH34" s="62">
        <f t="shared" si="8"/>
        <v>346.92078960680124</v>
      </c>
      <c r="BI34" s="62">
        <f ca="1">AVERAGE(OFFSET($BH$3,0,0,'Données projet'!$E$11+1,1))-AVERAGE(OFFSET($H$3,0,0,'Données projet'!$E$11+1,1))</f>
        <v>299.54950406029354</v>
      </c>
      <c r="BJ34" s="62">
        <f t="shared" si="38"/>
        <v>208.26364698165739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52.591547465667098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5.1282051282051295</v>
      </c>
      <c r="BY34" s="13">
        <f>IF('Données projet'!$A$114&gt;35,BY33+BX34-CG33,IF(A34&lt;'Données projet'!$A$114,$BV$205^A34,IF(A34='Données projet'!$A$114,'Données projet'!$B$114,BY33+BX34-CG33)))</f>
        <v>73.07692307692308</v>
      </c>
      <c r="BZ34" s="14">
        <f>BY34*VLOOKUP('Données projet'!$B$12,Paramètres!$A$1:$I$89,3,0)*VLOOKUP('Données projet'!$B$12,Paramètres!$A$1:$I$89,5,0)</f>
        <v>78.66</v>
      </c>
      <c r="CA34" s="14">
        <f t="shared" si="39"/>
        <v>21.809225756799648</v>
      </c>
      <c r="CB34" s="22">
        <f t="shared" si="10"/>
        <v>174.98390152642602</v>
      </c>
      <c r="CC34" s="62">
        <f t="shared" si="11"/>
        <v>404.48624223387208</v>
      </c>
      <c r="CD34" s="62">
        <f ca="1">AVERAGE(OFFSET($CC$3,0,0,'Données projet'!$E$12+1,1))-AVERAGE(OFFSET($H$3,0,0,'Données projet'!$E$12+1,1))</f>
        <v>441.30518831297212</v>
      </c>
      <c r="CE34" s="62">
        <f t="shared" si="40"/>
        <v>270.42872405271851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52.591547465667098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8.6</v>
      </c>
      <c r="CT34" s="13">
        <f>IF('Données projet'!$A$140&gt;35,CT33+CS34-DB33,IF(A34&lt;'Données projet'!$A$140,$CQ$205^A34,IF(A34='Données projet'!$A$140,'Données projet'!$B$140,CT33+CS34-DB33)))</f>
        <v>122.59999999999998</v>
      </c>
      <c r="CU34" s="18">
        <f>CT34*VLOOKUP('Données projet'!$B$13,Paramètres!$A$1:$I$89,3,0)*VLOOKUP('Données projet'!$B$13,Paramètres!$A$1:$I$89,5,0)</f>
        <v>107.10336</v>
      </c>
      <c r="CV34" s="14">
        <f t="shared" si="41"/>
        <v>28.647457255358184</v>
      </c>
      <c r="CW34" s="22">
        <f t="shared" si="13"/>
        <v>236.43267338641553</v>
      </c>
      <c r="CX34" s="62">
        <f t="shared" si="14"/>
        <v>465.93501409386158</v>
      </c>
      <c r="CY34" s="62">
        <f ca="1">AVERAGE(OFFSET($CX$3,0,0,'Données projet'!$E$13+1,1))-AVERAGE(OFFSET($H$3,0,0,'Données projet'!$E$13+1,1))</f>
        <v>310.81258463659196</v>
      </c>
      <c r="CZ34" s="62">
        <f t="shared" si="42"/>
        <v>287.31099756692083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52.591547465667098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5.1282051282051295</v>
      </c>
      <c r="DO34" s="13">
        <f>IF('Données projet'!$A$166&gt;35,DO33+DN34-DW33,IF(A34&lt;'Données projet'!$A$166,$DL$205^A34,IF(A34='Données projet'!$A$166,'Données projet'!$B$166,DO33+DN34-DW33)))</f>
        <v>73.07692307692308</v>
      </c>
      <c r="DP34" s="18">
        <f>DO34*VLOOKUP('Données projet'!$B$14,Paramètres!$A$1:$I$89,3,0)*VLOOKUP('Données projet'!$B$14,Paramètres!$A$1:$I$89,5,0)</f>
        <v>76.38000000000001</v>
      </c>
      <c r="DQ34" s="14">
        <f t="shared" si="43"/>
        <v>21.249704112506787</v>
      </c>
      <c r="DR34" s="22">
        <f t="shared" si="16"/>
        <v>170.03840132928266</v>
      </c>
      <c r="DS34" s="62">
        <f t="shared" si="17"/>
        <v>399.54074203672872</v>
      </c>
      <c r="DT34" s="62">
        <f ca="1">AVERAGE(OFFSET($DS$3,0,0,'Données projet'!$E$14+1,1))-AVERAGE(OFFSET($H$3,0,0,'Données projet'!$E$14+1,1))</f>
        <v>431.19274104373625</v>
      </c>
      <c r="DU34" s="62">
        <f t="shared" si="44"/>
        <v>264.67919175178133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52.591547465667098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8.9230769230769198</v>
      </c>
      <c r="EJ34" s="13">
        <f>IF('Données projet'!$A$192&gt;35,EJ33+EI34-ER33,IF(A34&lt;'Données projet'!$A$192,$EG$205^A34,IF(A34='Données projet'!$A$192,'Données projet'!$B$192,EJ33+EI34-ER33)))</f>
        <v>112.19999999999999</v>
      </c>
      <c r="EK34" s="18">
        <f>EJ34*VLOOKUP('Données projet'!$B$15,Paramètres!$A$1:$I$89,3,0)*VLOOKUP('Données projet'!$B$15,Paramètres!$A$1:$I$89,5,0)</f>
        <v>52.509599999999999</v>
      </c>
      <c r="EL34" s="14">
        <f t="shared" si="45"/>
        <v>15.260016001659478</v>
      </c>
      <c r="EM34" s="22">
        <f t="shared" si="19"/>
        <v>118.03208120289025</v>
      </c>
      <c r="EN34" s="62">
        <f t="shared" si="20"/>
        <v>347.53442191033628</v>
      </c>
      <c r="EO34" s="62">
        <f ca="1">AVERAGE(OFFSET($EN$3,0,0,'Données projet'!$E$15+1,1))-AVERAGE(OFFSET($H$3,0,0,'Données projet'!$E$15+1,1))</f>
        <v>291.68530745507815</v>
      </c>
      <c r="EP34" s="62">
        <f t="shared" si="46"/>
        <v>175.95121106728979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52.591547465667098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6.2</v>
      </c>
      <c r="FE34" s="13">
        <f>IF('Données projet'!$A$218&gt;35,FE33+FD34-FM33,IF(A34&lt;'Données projet'!$A$218,$FB$205^A34,IF(A34='Données projet'!$A$218,'Données projet'!$B$218,FE33+FD34-FM33)))</f>
        <v>119.19999999999995</v>
      </c>
      <c r="FF34" s="18">
        <f>FE34*VLOOKUP('Données projet'!$B$16,Paramètres!$A$1:$I$89,3,0)*VLOOKUP('Données projet'!$B$16,Paramètres!$A$1:$I$89,5,0)</f>
        <v>78.099839999999972</v>
      </c>
      <c r="FG34" s="14">
        <f t="shared" si="47"/>
        <v>21.671937135082647</v>
      </c>
      <c r="FH34" s="22">
        <f t="shared" si="22"/>
        <v>173.76917851026886</v>
      </c>
      <c r="FI34" s="62">
        <f t="shared" si="23"/>
        <v>403.27151921771485</v>
      </c>
      <c r="FJ34" s="62">
        <f ca="1">AVERAGE(OFFSET($FI$3,0,0,'Données projet'!$E$16+1,1))-AVERAGE(OFFSET($H$3,0,0,'Données projet'!$E$16+1,1))</f>
        <v>248.75689726928428</v>
      </c>
      <c r="FK34" s="62">
        <f t="shared" si="48"/>
        <v>232.02291680388336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projet'!$B$16,Paramètres!$A$1:$I$89,3,0)*0.475*44/12</f>
        <v>0</v>
      </c>
      <c r="FR34" s="23">
        <f>EXP(-LN(2)/25)*FR33+(1-EXP(-LN(2)/25))/(LN(2)/25)*Calculateur!FM34*Calculateur!FO34*VLOOKUP('Données projet'!$B$16,Paramètres!$A$1:$I$89,3,0)*0.475*44/12</f>
        <v>0</v>
      </c>
      <c r="FS34" s="23">
        <f>EXP(-LN(2)/2)*FS33+(1-EXP(-LN(2)/2))/(LN(2)/2)*FM34*FP34*VLOOKUP('Données projet'!$B$16,Paramètres!$A$1:$I$89,3,0)*0.475*44/12</f>
        <v>0</v>
      </c>
      <c r="FT34" s="24">
        <f t="shared" si="24"/>
        <v>0</v>
      </c>
      <c r="FU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52.591547465667098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12.777777777777779</v>
      </c>
      <c r="FZ34" s="13">
        <f>IF('Données projet'!$A$244&gt;35,FZ33+FY34-GH33,IF(A34&lt;'Données projet'!$A$244,$FW$205^A34,IF(A34='Données projet'!$A$244,'Données projet'!$B$244,FZ33+FY34-GH33)))</f>
        <v>118.55555555555554</v>
      </c>
      <c r="GA34" s="18">
        <f>FZ34*VLOOKUP('Données projet'!$B$17,Paramètres!$A$1:$I$89,3,0)*VLOOKUP('Données projet'!$B$17,Paramètres!$A$1:$I$89,5,0)</f>
        <v>70.896222222222221</v>
      </c>
      <c r="GB34" s="14">
        <f t="shared" si="49"/>
        <v>19.895856078765743</v>
      </c>
      <c r="GC34" s="22">
        <f t="shared" si="25"/>
        <v>158.12953637422072</v>
      </c>
      <c r="GD34" s="62">
        <f t="shared" si="26"/>
        <v>387.63187708166674</v>
      </c>
      <c r="GE34" s="62">
        <f ca="1">AVERAGE(OFFSET($GD$3,0,0,'Données projet'!$E$17+1,1))-AVERAGE(OFFSET($H$3,0,0,'Données projet'!$E$17+1,1))</f>
        <v>315.909549580511</v>
      </c>
      <c r="GF34" s="62">
        <f t="shared" si="50"/>
        <v>208.56856525402051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projet'!$B$17,Paramètres!$A$1:$I$89,3,0)*0.475*44/12</f>
        <v>0</v>
      </c>
      <c r="GM34" s="23">
        <f>EXP(-LN(2)/25)*GM33+(1-EXP(-LN(2)/25))/(LN(2)/25)*Calculateur!GH34*Calculateur!GJ34*VLOOKUP('Données projet'!$B$17,Paramètres!$A$1:$I$89,3,0)*0.475*44/12</f>
        <v>0</v>
      </c>
      <c r="GN34" s="23">
        <f>EXP(-LN(2)/2)*GN33+(1-EXP(-LN(2)/2))/(LN(2)/2)*GH34*GK34*VLOOKUP('Données projet'!$B$17,Paramètres!$A$1:$I$89,3,0)*0.475*44/12</f>
        <v>0</v>
      </c>
      <c r="GO34" s="23">
        <f t="shared" si="27"/>
        <v>0</v>
      </c>
      <c r="GP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52.591547465667098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5.2564102564102573</v>
      </c>
      <c r="GU34" s="13">
        <f>IF('Données projet'!$A$270&gt;35,GU33+GT34-HC33,IF(A34&lt;'Données projet'!$A$270,$GR$205^A34,IF(A34='Données projet'!$A$270,'Données projet'!$B$270,GU33+GT34-HC33)))</f>
        <v>74.487179487179489</v>
      </c>
      <c r="GV34" s="18">
        <f>GU34*VLOOKUP('Données projet'!$B$18,Paramètres!$A$1:$I$89,3,0)*VLOOKUP('Données projet'!$B$18,Paramètres!$A$1:$I$89,5,0)</f>
        <v>49.965999999999994</v>
      </c>
      <c r="GW34" s="14">
        <f t="shared" si="51"/>
        <v>14.604978667596622</v>
      </c>
      <c r="GX34" s="22">
        <f t="shared" si="28"/>
        <v>112.46112117939744</v>
      </c>
      <c r="GY34" s="62">
        <f t="shared" si="29"/>
        <v>341.96346188684345</v>
      </c>
      <c r="GZ34" s="62">
        <f ca="1">AVERAGE(OFFSET($GY$3,0,0,'Données projet'!$E$18+1,1))-AVERAGE(OFFSET($H$3,0,0,'Données projet'!$E$18+1,1))</f>
        <v>254.35742752782755</v>
      </c>
      <c r="HA34" s="62">
        <f t="shared" si="52"/>
        <v>171.79611712137395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>
        <f>EXP(-LN(2)/35)*HG33+(1-EXP(-LN(2)/35))/(LN(2)/35)*HC34*HD34*VLOOKUP('Données projet'!$B$18,Paramètres!$A$1:$I$89,3,0)*0.475*44/12</f>
        <v>0</v>
      </c>
      <c r="HH34" s="23">
        <f>EXP(-LN(2)/25)*HH33+(1-EXP(-LN(2)/25))/(LN(2)/25)*Calculateur!HC34*Calculateur!HE34*VLOOKUP('Données projet'!$B$18,Paramètres!$A$1:$I$89,3,0)*0.475*44/12</f>
        <v>0</v>
      </c>
      <c r="HI34" s="23">
        <f>EXP(-LN(2)/2)*HI33+(1-EXP(-LN(2)/2))/(LN(2)/2)*HC34*HF34*VLOOKUP('Données projet'!$B$18,Paramètres!$A$1:$I$89,3,0)*0.475*44/12</f>
        <v>0</v>
      </c>
      <c r="HJ34" s="24">
        <f t="shared" si="30"/>
        <v>0</v>
      </c>
    </row>
    <row r="35" spans="1:218" s="5" customFormat="1" x14ac:dyDescent="0.3">
      <c r="A35" s="11">
        <f t="shared" si="31"/>
        <v>32</v>
      </c>
      <c r="B35" s="76">
        <f>'Scénario référence'!$B$16*5+'Scénario référence'!$B$17*0+'Scénario référence'!$B$18*5</f>
        <v>3.9405000000000001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14.448500000000001</v>
      </c>
      <c r="H35" s="69">
        <f t="shared" si="1"/>
        <v>161.30656666666667</v>
      </c>
      <c r="I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52.893545197668459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6.5333333333333341</v>
      </c>
      <c r="N35" s="14">
        <f>IF('Données projet'!$A$36&gt;35,N34+M35-V34,IF(A35&lt;'Données projet'!$A$36,$K$205^A35,IF(A35='Données projet'!$A$36,'Données projet'!$B$36,N34+M35-V34)))</f>
        <v>99.735897435897414</v>
      </c>
      <c r="O35" s="14">
        <f>N35*VLOOKUP('Données projet'!$B$9,Paramètres!$A$1:$I$89,3,0)*VLOOKUP('Données projet'!$B$9,Paramètres!$A$1:$I$89,5,0)</f>
        <v>58.345499999999987</v>
      </c>
      <c r="P35" s="14">
        <f t="shared" si="33"/>
        <v>16.749281181106795</v>
      </c>
      <c r="Q35" s="22">
        <f t="shared" ref="Q35:Q66" si="53">(O35+P35)*0.475*44/12</f>
        <v>130.79007722376096</v>
      </c>
      <c r="R35" s="62">
        <f t="shared" si="0"/>
        <v>361.39974294854528</v>
      </c>
      <c r="S35" s="62">
        <f ca="1">AVERAGE(OFFSET($R$3,0,0,'Données projet'!$E$9+1,1))-AVERAGE(OFFSET($H$3,0,0,'Données projet'!$E$9+1,1))</f>
        <v>210.54472399593521</v>
      </c>
      <c r="T35" s="62">
        <f t="shared" si="34"/>
        <v>181.14158435194193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52.893545197668459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4.2399999999999975</v>
      </c>
      <c r="AI35" s="14">
        <f>IF('Données projet'!$A$62&gt;35,AI34+AH35-AQ34,IF(A35&lt;'Données projet'!$A$62,$AF$205^A35,IF(A35='Données projet'!$A$62,'Données projet'!$B$62,AI34+AH35-AQ34)))</f>
        <v>140.28000000000003</v>
      </c>
      <c r="AJ35" s="14">
        <f>AI35*VLOOKUP('Données projet'!$B$10,Paramètres!$A$1:$I$89,3,0)*VLOOKUP('Données projet'!$B$10,Paramètres!$A$1:$I$89,5,0)</f>
        <v>72.945600000000027</v>
      </c>
      <c r="AK35" s="14">
        <f t="shared" si="35"/>
        <v>20.403189836682952</v>
      </c>
      <c r="AL35" s="22">
        <f t="shared" si="4"/>
        <v>162.58247563222284</v>
      </c>
      <c r="AM35" s="62">
        <f t="shared" si="5"/>
        <v>393.19214135700719</v>
      </c>
      <c r="AN35" s="62">
        <f ca="1">AVERAGE(OFFSET($AM$3,0,0,'Données projet'!$E$10+1,1))-AVERAGE(OFFSET($H$3,0,0,'Données projet'!$E$10+1,1))</f>
        <v>289.05608923588198</v>
      </c>
      <c r="AO35" s="62">
        <f t="shared" si="36"/>
        <v>220.06639020312738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52.893545197668459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1.9254166666666663</v>
      </c>
      <c r="BD35" s="13">
        <f>IF('Données projet'!$A$88&gt;35,BD34+BC35-BL34,IF(A35&lt;'Données projet'!$A$88,$BA$205^A35,IF(A35='Données projet'!$A$88,'Données projet'!$B$88,BD34+BC35-BL34)))</f>
        <v>47.263333333333364</v>
      </c>
      <c r="BE35" s="14">
        <f>BD35*VLOOKUP('Données projet'!$B$11,Paramètres!$A$1:$I$89,3,0)*VLOOKUP('Données projet'!$B$11,Paramètres!$A$1:$I$89,5,0)</f>
        <v>54.447360000000032</v>
      </c>
      <c r="BF35" s="14">
        <f t="shared" si="37"/>
        <v>15.756552073943871</v>
      </c>
      <c r="BG35" s="22">
        <f t="shared" si="7"/>
        <v>122.27181352878561</v>
      </c>
      <c r="BH35" s="62">
        <f t="shared" si="8"/>
        <v>352.88147925356998</v>
      </c>
      <c r="BI35" s="62">
        <f ca="1">AVERAGE(OFFSET($BH$3,0,0,'Données projet'!$E$11+1,1))-AVERAGE(OFFSET($H$3,0,0,'Données projet'!$E$11+1,1))</f>
        <v>299.54950406029354</v>
      </c>
      <c r="BJ35" s="62">
        <f t="shared" si="38"/>
        <v>208.26364698165739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52.893545197668459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5.1282051282051295</v>
      </c>
      <c r="BY35" s="13">
        <f>IF('Données projet'!$A$114&gt;35,BY34+BX35-CG34,IF(A35&lt;'Données projet'!$A$114,$BV$205^A35,IF(A35='Données projet'!$A$114,'Données projet'!$B$114,BY34+BX35-CG34)))</f>
        <v>78.205128205128204</v>
      </c>
      <c r="BZ35" s="14">
        <f>BY35*VLOOKUP('Données projet'!$B$12,Paramètres!$A$1:$I$89,3,0)*VLOOKUP('Données projet'!$B$12,Paramètres!$A$1:$I$89,5,0)</f>
        <v>84.18</v>
      </c>
      <c r="CA35" s="14">
        <f t="shared" si="39"/>
        <v>23.156166724555288</v>
      </c>
      <c r="CB35" s="22">
        <f t="shared" si="10"/>
        <v>186.94382371193379</v>
      </c>
      <c r="CC35" s="62">
        <f t="shared" si="11"/>
        <v>417.55348943671811</v>
      </c>
      <c r="CD35" s="62">
        <f ca="1">AVERAGE(OFFSET($CC$3,0,0,'Données projet'!$E$12+1,1))-AVERAGE(OFFSET($H$3,0,0,'Données projet'!$E$12+1,1))</f>
        <v>441.30518831297212</v>
      </c>
      <c r="CE35" s="62">
        <f t="shared" si="40"/>
        <v>270.42872405271851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52.893545197668459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8.6</v>
      </c>
      <c r="CT35" s="13">
        <f>IF('Données projet'!$A$140&gt;35,CT34+CS35-DB34,IF(A35&lt;'Données projet'!$A$140,$CQ$205^A35,IF(A35='Données projet'!$A$140,'Données projet'!$B$140,CT34+CS35-DB34)))</f>
        <v>131.19999999999999</v>
      </c>
      <c r="CU35" s="18">
        <f>CT35*VLOOKUP('Données projet'!$B$13,Paramètres!$A$1:$I$89,3,0)*VLOOKUP('Données projet'!$B$13,Paramètres!$A$1:$I$89,5,0)</f>
        <v>114.61632</v>
      </c>
      <c r="CV35" s="14">
        <f t="shared" si="41"/>
        <v>30.416009647934409</v>
      </c>
      <c r="CW35" s="22">
        <f t="shared" si="13"/>
        <v>252.59797413681909</v>
      </c>
      <c r="CX35" s="62">
        <f t="shared" si="14"/>
        <v>483.20763986160341</v>
      </c>
      <c r="CY35" s="62">
        <f ca="1">AVERAGE(OFFSET($CX$3,0,0,'Données projet'!$E$13+1,1))-AVERAGE(OFFSET($H$3,0,0,'Données projet'!$E$13+1,1))</f>
        <v>310.81258463659196</v>
      </c>
      <c r="CZ35" s="62">
        <f t="shared" si="42"/>
        <v>287.31099756692083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52.893545197668459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5.1282051282051295</v>
      </c>
      <c r="DO35" s="13">
        <f>IF('Données projet'!$A$166&gt;35,DO34+DN35-DW34,IF(A35&lt;'Données projet'!$A$166,$DL$205^A35,IF(A35='Données projet'!$A$166,'Données projet'!$B$166,DO34+DN35-DW34)))</f>
        <v>78.205128205128204</v>
      </c>
      <c r="DP35" s="18">
        <f>DO35*VLOOKUP('Données projet'!$B$14,Paramètres!$A$1:$I$89,3,0)*VLOOKUP('Données projet'!$B$14,Paramètres!$A$1:$I$89,5,0)</f>
        <v>81.740000000000009</v>
      </c>
      <c r="DQ35" s="14">
        <f t="shared" si="43"/>
        <v>22.56208894179845</v>
      </c>
      <c r="DR35" s="22">
        <f t="shared" si="16"/>
        <v>181.65947157363232</v>
      </c>
      <c r="DS35" s="62">
        <f t="shared" si="17"/>
        <v>412.26913729841669</v>
      </c>
      <c r="DT35" s="62">
        <f ca="1">AVERAGE(OFFSET($DS$3,0,0,'Données projet'!$E$14+1,1))-AVERAGE(OFFSET($H$3,0,0,'Données projet'!$E$14+1,1))</f>
        <v>431.19274104373625</v>
      </c>
      <c r="DU35" s="62">
        <f t="shared" si="44"/>
        <v>264.67919175178133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52.893545197668459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8.9230769230769198</v>
      </c>
      <c r="EJ35" s="13">
        <f>IF('Données projet'!$A$192&gt;35,EJ34+EI35-ER34,IF(A35&lt;'Données projet'!$A$192,$EG$205^A35,IF(A35='Données projet'!$A$192,'Données projet'!$B$192,EJ34+EI35-ER34)))</f>
        <v>121.12307692307691</v>
      </c>
      <c r="EK35" s="18">
        <f>EJ35*VLOOKUP('Données projet'!$B$15,Paramètres!$A$1:$I$89,3,0)*VLOOKUP('Données projet'!$B$15,Paramètres!$A$1:$I$89,5,0)</f>
        <v>56.685599999999994</v>
      </c>
      <c r="EL35" s="14">
        <f t="shared" si="45"/>
        <v>16.327533552386551</v>
      </c>
      <c r="EM35" s="22">
        <f t="shared" si="19"/>
        <v>127.16454093707324</v>
      </c>
      <c r="EN35" s="62">
        <f t="shared" si="20"/>
        <v>357.77420666185759</v>
      </c>
      <c r="EO35" s="62">
        <f ca="1">AVERAGE(OFFSET($EN$3,0,0,'Données projet'!$E$15+1,1))-AVERAGE(OFFSET($H$3,0,0,'Données projet'!$E$15+1,1))</f>
        <v>291.68530745507815</v>
      </c>
      <c r="EP35" s="62">
        <f t="shared" si="46"/>
        <v>175.95121106728979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52.893545197668459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6.2</v>
      </c>
      <c r="FE35" s="13">
        <f>IF('Données projet'!$A$218&gt;35,FE34+FD35-FM34,IF(A35&lt;'Données projet'!$A$218,$FB$205^A35,IF(A35='Données projet'!$A$218,'Données projet'!$B$218,FE34+FD35-FM34)))</f>
        <v>125.39999999999995</v>
      </c>
      <c r="FF35" s="18">
        <f>FE35*VLOOKUP('Données projet'!$B$16,Paramètres!$A$1:$I$89,3,0)*VLOOKUP('Données projet'!$B$16,Paramètres!$A$1:$I$89,5,0)</f>
        <v>82.162079999999975</v>
      </c>
      <c r="FG35" s="14">
        <f t="shared" si="47"/>
        <v>22.665000669215523</v>
      </c>
      <c r="FH35" s="22">
        <f t="shared" si="22"/>
        <v>182.57383216555033</v>
      </c>
      <c r="FI35" s="62">
        <f t="shared" si="23"/>
        <v>413.18349789033471</v>
      </c>
      <c r="FJ35" s="62">
        <f ca="1">AVERAGE(OFFSET($FI$3,0,0,'Données projet'!$E$16+1,1))-AVERAGE(OFFSET($H$3,0,0,'Données projet'!$E$16+1,1))</f>
        <v>248.75689726928428</v>
      </c>
      <c r="FK35" s="62">
        <f t="shared" si="48"/>
        <v>232.02291680388336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projet'!$B$16,Paramètres!$A$1:$I$89,3,0)*0.475*44/12</f>
        <v>0</v>
      </c>
      <c r="FR35" s="23">
        <f>EXP(-LN(2)/25)*FR34+(1-EXP(-LN(2)/25))/(LN(2)/25)*Calculateur!FM35*Calculateur!FO35*VLOOKUP('Données projet'!$B$16,Paramètres!$A$1:$I$89,3,0)*0.475*44/12</f>
        <v>0</v>
      </c>
      <c r="FS35" s="23">
        <f>EXP(-LN(2)/2)*FS34+(1-EXP(-LN(2)/2))/(LN(2)/2)*FM35*FP35*VLOOKUP('Données projet'!$B$16,Paramètres!$A$1:$I$89,3,0)*0.475*44/12</f>
        <v>0</v>
      </c>
      <c r="FT35" s="24">
        <f t="shared" si="24"/>
        <v>0</v>
      </c>
      <c r="FU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52.893545197668459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12.777777777777779</v>
      </c>
      <c r="FZ35" s="13">
        <f>IF('Données projet'!$A$244&gt;35,FZ34+FY35-GH34,IF(A35&lt;'Données projet'!$A$244,$FW$205^A35,IF(A35='Données projet'!$A$244,'Données projet'!$B$244,FZ34+FY35-GH34)))</f>
        <v>131.33333333333331</v>
      </c>
      <c r="GA35" s="18">
        <f>FZ35*VLOOKUP('Données projet'!$B$17,Paramètres!$A$1:$I$89,3,0)*VLOOKUP('Données projet'!$B$17,Paramètres!$A$1:$I$89,5,0)</f>
        <v>78.537333333333322</v>
      </c>
      <c r="GB35" s="14">
        <f t="shared" si="49"/>
        <v>21.779171360072009</v>
      </c>
      <c r="GC35" s="22">
        <f t="shared" si="25"/>
        <v>174.71791234101428</v>
      </c>
      <c r="GD35" s="62">
        <f t="shared" si="26"/>
        <v>405.32757806579866</v>
      </c>
      <c r="GE35" s="62">
        <f ca="1">AVERAGE(OFFSET($GD$3,0,0,'Données projet'!$E$17+1,1))-AVERAGE(OFFSET($H$3,0,0,'Données projet'!$E$17+1,1))</f>
        <v>315.909549580511</v>
      </c>
      <c r="GF35" s="62">
        <f t="shared" si="50"/>
        <v>208.56856525402051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projet'!$B$17,Paramètres!$A$1:$I$89,3,0)*0.475*44/12</f>
        <v>0</v>
      </c>
      <c r="GM35" s="23">
        <f>EXP(-LN(2)/25)*GM34+(1-EXP(-LN(2)/25))/(LN(2)/25)*Calculateur!GH35*Calculateur!GJ35*VLOOKUP('Données projet'!$B$17,Paramètres!$A$1:$I$89,3,0)*0.475*44/12</f>
        <v>0</v>
      </c>
      <c r="GN35" s="23">
        <f>EXP(-LN(2)/2)*GN34+(1-EXP(-LN(2)/2))/(LN(2)/2)*GH35*GK35*VLOOKUP('Données projet'!$B$17,Paramètres!$A$1:$I$89,3,0)*0.475*44/12</f>
        <v>0</v>
      </c>
      <c r="GO35" s="23">
        <f t="shared" si="27"/>
        <v>0</v>
      </c>
      <c r="GP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52.893545197668459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5.2564102564102573</v>
      </c>
      <c r="GU35" s="13">
        <f>IF('Données projet'!$A$270&gt;35,GU34+GT35-HC34,IF(A35&lt;'Données projet'!$A$270,$GR$205^A35,IF(A35='Données projet'!$A$270,'Données projet'!$B$270,GU34+GT35-HC34)))</f>
        <v>79.743589743589752</v>
      </c>
      <c r="GV35" s="18">
        <f>GU35*VLOOKUP('Données projet'!$B$18,Paramètres!$A$1:$I$89,3,0)*VLOOKUP('Données projet'!$B$18,Paramètres!$A$1:$I$89,5,0)</f>
        <v>53.492000000000012</v>
      </c>
      <c r="GW35" s="14">
        <f t="shared" si="51"/>
        <v>15.512010152063965</v>
      </c>
      <c r="GX35" s="22">
        <f t="shared" si="28"/>
        <v>120.1819843481781</v>
      </c>
      <c r="GY35" s="62">
        <f t="shared" si="29"/>
        <v>350.79165007296245</v>
      </c>
      <c r="GZ35" s="62">
        <f ca="1">AVERAGE(OFFSET($GY$3,0,0,'Données projet'!$E$18+1,1))-AVERAGE(OFFSET($H$3,0,0,'Données projet'!$E$18+1,1))</f>
        <v>254.35742752782755</v>
      </c>
      <c r="HA35" s="62">
        <f t="shared" si="52"/>
        <v>171.79611712137395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>
        <f>EXP(-LN(2)/35)*HG34+(1-EXP(-LN(2)/35))/(LN(2)/35)*HC35*HD35*VLOOKUP('Données projet'!$B$18,Paramètres!$A$1:$I$89,3,0)*0.475*44/12</f>
        <v>0</v>
      </c>
      <c r="HH35" s="23">
        <f>EXP(-LN(2)/25)*HH34+(1-EXP(-LN(2)/25))/(LN(2)/25)*Calculateur!HC35*Calculateur!HE35*VLOOKUP('Données projet'!$B$18,Paramètres!$A$1:$I$89,3,0)*0.475*44/12</f>
        <v>0</v>
      </c>
      <c r="HI35" s="23">
        <f>EXP(-LN(2)/2)*HI34+(1-EXP(-LN(2)/2))/(LN(2)/2)*HC35*HF35*VLOOKUP('Données projet'!$B$18,Paramètres!$A$1:$I$89,3,0)*0.475*44/12</f>
        <v>0</v>
      </c>
      <c r="HJ35" s="24">
        <f t="shared" si="30"/>
        <v>0</v>
      </c>
    </row>
    <row r="36" spans="1:218" s="5" customFormat="1" x14ac:dyDescent="0.3">
      <c r="A36" s="11">
        <f t="shared" si="31"/>
        <v>33</v>
      </c>
      <c r="B36" s="76">
        <f>'Scénario référence'!$B$16*5+'Scénario référence'!$B$17*0+'Scénario référence'!$B$18*5</f>
        <v>3.9405000000000001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14.448500000000001</v>
      </c>
      <c r="H36" s="69">
        <f t="shared" si="1"/>
        <v>161.30656666666667</v>
      </c>
      <c r="I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53.190303944185388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6.5333333333333341</v>
      </c>
      <c r="N36" s="14">
        <f>IF('Données projet'!$A$36&gt;35,N35+M36-V35,IF(A36&lt;'Données projet'!$A$36,$K$205^A36,IF(A36='Données projet'!$A$36,'Données projet'!$B$36,N35+M36-V35)))</f>
        <v>106.26923076923075</v>
      </c>
      <c r="O36" s="14">
        <f>N36*VLOOKUP('Données projet'!$B$9,Paramètres!$A$1:$I$89,3,0)*VLOOKUP('Données projet'!$B$9,Paramètres!$A$1:$I$89,5,0)</f>
        <v>62.167499999999983</v>
      </c>
      <c r="P36" s="14">
        <f t="shared" si="33"/>
        <v>17.715144035839788</v>
      </c>
      <c r="Q36" s="22">
        <f t="shared" si="53"/>
        <v>139.12893836242094</v>
      </c>
      <c r="R36" s="62">
        <f t="shared" si="0"/>
        <v>370.82671949110068</v>
      </c>
      <c r="S36" s="62">
        <f ca="1">AVERAGE(OFFSET($R$3,0,0,'Données projet'!$E$9+1,1))-AVERAGE(OFFSET($H$3,0,0,'Données projet'!$E$9+1,1))</f>
        <v>210.54472399593521</v>
      </c>
      <c r="T36" s="62">
        <f t="shared" si="34"/>
        <v>181.14158435194193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53.190303944185388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4.2399999999999975</v>
      </c>
      <c r="AI36" s="14">
        <f>IF('Données projet'!$A$62&gt;35,AI35+AH36-AQ35,IF(A36&lt;'Données projet'!$A$62,$AF$205^A36,IF(A36='Données projet'!$A$62,'Données projet'!$B$62,AI35+AH36-AQ35)))</f>
        <v>144.52000000000004</v>
      </c>
      <c r="AJ36" s="14">
        <f>AI36*VLOOKUP('Données projet'!$B$10,Paramètres!$A$1:$I$89,3,0)*VLOOKUP('Données projet'!$B$10,Paramètres!$A$1:$I$89,5,0)</f>
        <v>75.150400000000033</v>
      </c>
      <c r="AK36" s="14">
        <f t="shared" si="35"/>
        <v>20.947150763733703</v>
      </c>
      <c r="AL36" s="22">
        <f t="shared" si="4"/>
        <v>167.3699009135029</v>
      </c>
      <c r="AM36" s="62">
        <f t="shared" si="5"/>
        <v>399.06768204218264</v>
      </c>
      <c r="AN36" s="62">
        <f ca="1">AVERAGE(OFFSET($AM$3,0,0,'Données projet'!$E$10+1,1))-AVERAGE(OFFSET($H$3,0,0,'Données projet'!$E$10+1,1))</f>
        <v>289.05608923588198</v>
      </c>
      <c r="AO36" s="62">
        <f t="shared" si="36"/>
        <v>220.06639020312738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53.190303944185388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1.9254166666666663</v>
      </c>
      <c r="BD36" s="13">
        <f>IF('Données projet'!$A$88&gt;35,BD35+BC36-BL35,IF(A36&lt;'Données projet'!$A$88,$BA$205^A36,IF(A36='Données projet'!$A$88,'Données projet'!$B$88,BD35+BC36-BL35)))</f>
        <v>49.188750000000027</v>
      </c>
      <c r="BE36" s="14">
        <f>BD36*VLOOKUP('Données projet'!$B$11,Paramètres!$A$1:$I$89,3,0)*VLOOKUP('Données projet'!$B$11,Paramètres!$A$1:$I$89,5,0)</f>
        <v>56.665440000000025</v>
      </c>
      <c r="BF36" s="14">
        <f t="shared" si="37"/>
        <v>16.322402540008241</v>
      </c>
      <c r="BG36" s="22">
        <f t="shared" si="7"/>
        <v>127.12049242384775</v>
      </c>
      <c r="BH36" s="62">
        <f t="shared" si="8"/>
        <v>358.8182735525275</v>
      </c>
      <c r="BI36" s="62">
        <f ca="1">AVERAGE(OFFSET($BH$3,0,0,'Données projet'!$E$11+1,1))-AVERAGE(OFFSET($H$3,0,0,'Données projet'!$E$11+1,1))</f>
        <v>299.54950406029354</v>
      </c>
      <c r="BJ36" s="62">
        <f t="shared" si="38"/>
        <v>208.26364698165739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53.190303944185388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5.1282051282051295</v>
      </c>
      <c r="BY36" s="13">
        <f>IF('Données projet'!$A$114&gt;35,BY35+BX36-CG35,IF(A36&lt;'Données projet'!$A$114,$BV$205^A36,IF(A36='Données projet'!$A$114,'Données projet'!$B$114,BY35+BX36-CG35)))</f>
        <v>83.333333333333329</v>
      </c>
      <c r="BZ36" s="14">
        <f>BY36*VLOOKUP('Données projet'!$B$12,Paramètres!$A$1:$I$89,3,0)*VLOOKUP('Données projet'!$B$12,Paramètres!$A$1:$I$89,5,0)</f>
        <v>89.699999999999989</v>
      </c>
      <c r="CA36" s="14">
        <f t="shared" si="39"/>
        <v>24.492858164013299</v>
      </c>
      <c r="CB36" s="22">
        <f t="shared" si="10"/>
        <v>198.88589463565646</v>
      </c>
      <c r="CC36" s="62">
        <f t="shared" si="11"/>
        <v>430.58367576433619</v>
      </c>
      <c r="CD36" s="62">
        <f ca="1">AVERAGE(OFFSET($CC$3,0,0,'Données projet'!$E$12+1,1))-AVERAGE(OFFSET($H$3,0,0,'Données projet'!$E$12+1,1))</f>
        <v>441.30518831297212</v>
      </c>
      <c r="CE36" s="62">
        <f t="shared" si="40"/>
        <v>270.42872405271851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53.190303944185388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8.6</v>
      </c>
      <c r="CT36" s="13">
        <f>IF('Données projet'!$A$140&gt;35,CT35+CS36-DB35,IF(A36&lt;'Données projet'!$A$140,$CQ$205^A36,IF(A36='Données projet'!$A$140,'Données projet'!$B$140,CT35+CS36-DB35)))</f>
        <v>139.79999999999998</v>
      </c>
      <c r="CU36" s="18">
        <f>CT36*VLOOKUP('Données projet'!$B$13,Paramètres!$A$1:$I$89,3,0)*VLOOKUP('Données projet'!$B$13,Paramètres!$A$1:$I$89,5,0)</f>
        <v>122.12927999999999</v>
      </c>
      <c r="CV36" s="14">
        <f t="shared" si="41"/>
        <v>32.171109382958193</v>
      </c>
      <c r="CW36" s="22">
        <f t="shared" si="13"/>
        <v>268.73984484198553</v>
      </c>
      <c r="CX36" s="62">
        <f t="shared" si="14"/>
        <v>500.43762597066529</v>
      </c>
      <c r="CY36" s="62">
        <f ca="1">AVERAGE(OFFSET($CX$3,0,0,'Données projet'!$E$13+1,1))-AVERAGE(OFFSET($H$3,0,0,'Données projet'!$E$13+1,1))</f>
        <v>310.81258463659196</v>
      </c>
      <c r="CZ36" s="62">
        <f t="shared" si="42"/>
        <v>287.31099756692083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53.190303944185388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5.1282051282051295</v>
      </c>
      <c r="DO36" s="13">
        <f>IF('Données projet'!$A$166&gt;35,DO35+DN36-DW35,IF(A36&lt;'Données projet'!$A$166,$DL$205^A36,IF(A36='Données projet'!$A$166,'Données projet'!$B$166,DO35+DN36-DW35)))</f>
        <v>83.333333333333329</v>
      </c>
      <c r="DP36" s="18">
        <f>DO36*VLOOKUP('Données projet'!$B$14,Paramètres!$A$1:$I$89,3,0)*VLOOKUP('Données projet'!$B$14,Paramètres!$A$1:$I$89,5,0)</f>
        <v>87.100000000000009</v>
      </c>
      <c r="DQ36" s="14">
        <f t="shared" si="43"/>
        <v>23.864487197240759</v>
      </c>
      <c r="DR36" s="22">
        <f t="shared" si="16"/>
        <v>193.26314853519432</v>
      </c>
      <c r="DS36" s="62">
        <f t="shared" si="17"/>
        <v>424.96092966387403</v>
      </c>
      <c r="DT36" s="62">
        <f ca="1">AVERAGE(OFFSET($DS$3,0,0,'Données projet'!$E$14+1,1))-AVERAGE(OFFSET($H$3,0,0,'Données projet'!$E$14+1,1))</f>
        <v>431.19274104373625</v>
      </c>
      <c r="DU36" s="62">
        <f t="shared" si="44"/>
        <v>264.67919175178133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53.190303944185388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8.9230769230769198</v>
      </c>
      <c r="EJ36" s="13">
        <f>IF('Données projet'!$A$192&gt;35,EJ35+EI36-ER35,IF(A36&lt;'Données projet'!$A$192,$EG$205^A36,IF(A36='Données projet'!$A$192,'Données projet'!$B$192,EJ35+EI36-ER35)))</f>
        <v>130.04615384615383</v>
      </c>
      <c r="EK36" s="18">
        <f>EJ36*VLOOKUP('Données projet'!$B$15,Paramètres!$A$1:$I$89,3,0)*VLOOKUP('Données projet'!$B$15,Paramètres!$A$1:$I$89,5,0)</f>
        <v>60.861599999999989</v>
      </c>
      <c r="EL36" s="14">
        <f t="shared" si="45"/>
        <v>17.385927430951966</v>
      </c>
      <c r="EM36" s="22">
        <f t="shared" si="19"/>
        <v>136.28111027557466</v>
      </c>
      <c r="EN36" s="62">
        <f t="shared" si="20"/>
        <v>367.9788914042544</v>
      </c>
      <c r="EO36" s="62">
        <f ca="1">AVERAGE(OFFSET($EN$3,0,0,'Données projet'!$E$15+1,1))-AVERAGE(OFFSET($H$3,0,0,'Données projet'!$E$15+1,1))</f>
        <v>291.68530745507815</v>
      </c>
      <c r="EP36" s="62">
        <f t="shared" si="46"/>
        <v>175.95121106728979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53.190303944185388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6.2</v>
      </c>
      <c r="FE36" s="13">
        <f>IF('Données projet'!$A$218&gt;35,FE35+FD36-FM35,IF(A36&lt;'Données projet'!$A$218,$FB$205^A36,IF(A36='Données projet'!$A$218,'Données projet'!$B$218,FE35+FD36-FM35)))</f>
        <v>131.59999999999994</v>
      </c>
      <c r="FF36" s="18">
        <f>FE36*VLOOKUP('Données projet'!$B$16,Paramètres!$A$1:$I$89,3,0)*VLOOKUP('Données projet'!$B$16,Paramètres!$A$1:$I$89,5,0)</f>
        <v>86.224319999999963</v>
      </c>
      <c r="FG36" s="14">
        <f t="shared" si="47"/>
        <v>23.652363060428655</v>
      </c>
      <c r="FH36" s="22">
        <f t="shared" si="22"/>
        <v>191.36855633024649</v>
      </c>
      <c r="FI36" s="62">
        <f t="shared" si="23"/>
        <v>423.06633745892623</v>
      </c>
      <c r="FJ36" s="62">
        <f ca="1">AVERAGE(OFFSET($FI$3,0,0,'Données projet'!$E$16+1,1))-AVERAGE(OFFSET($H$3,0,0,'Données projet'!$E$16+1,1))</f>
        <v>248.75689726928428</v>
      </c>
      <c r="FK36" s="62">
        <f t="shared" si="48"/>
        <v>232.02291680388336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projet'!$B$16,Paramètres!$A$1:$I$89,3,0)*0.475*44/12</f>
        <v>0</v>
      </c>
      <c r="FR36" s="23">
        <f>EXP(-LN(2)/25)*FR35+(1-EXP(-LN(2)/25))/(LN(2)/25)*Calculateur!FM36*Calculateur!FO36*VLOOKUP('Données projet'!$B$16,Paramètres!$A$1:$I$89,3,0)*0.475*44/12</f>
        <v>0</v>
      </c>
      <c r="FS36" s="23">
        <f>EXP(-LN(2)/2)*FS35+(1-EXP(-LN(2)/2))/(LN(2)/2)*FM36*FP36*VLOOKUP('Données projet'!$B$16,Paramètres!$A$1:$I$89,3,0)*0.475*44/12</f>
        <v>0</v>
      </c>
      <c r="FT36" s="24">
        <f t="shared" si="24"/>
        <v>0</v>
      </c>
      <c r="FU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53.190303944185388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12.777777777777779</v>
      </c>
      <c r="FZ36" s="13">
        <f>IF('Données projet'!$A$244&gt;35,FZ35+FY36-GH35,IF(A36&lt;'Données projet'!$A$244,$FW$205^A36,IF(A36='Données projet'!$A$244,'Données projet'!$B$244,FZ35+FY36-GH35)))</f>
        <v>144.11111111111109</v>
      </c>
      <c r="GA36" s="18">
        <f>FZ36*VLOOKUP('Données projet'!$B$17,Paramètres!$A$1:$I$89,3,0)*VLOOKUP('Données projet'!$B$17,Paramètres!$A$1:$I$89,5,0)</f>
        <v>86.178444444444438</v>
      </c>
      <c r="GB36" s="14">
        <f t="shared" si="49"/>
        <v>23.641243304547441</v>
      </c>
      <c r="GC36" s="22">
        <f t="shared" si="25"/>
        <v>191.26928949616084</v>
      </c>
      <c r="GD36" s="62">
        <f t="shared" si="26"/>
        <v>422.96707062484057</v>
      </c>
      <c r="GE36" s="62">
        <f ca="1">AVERAGE(OFFSET($GD$3,0,0,'Données projet'!$E$17+1,1))-AVERAGE(OFFSET($H$3,0,0,'Données projet'!$E$17+1,1))</f>
        <v>315.909549580511</v>
      </c>
      <c r="GF36" s="62">
        <f t="shared" si="50"/>
        <v>208.56856525402051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projet'!$B$17,Paramètres!$A$1:$I$89,3,0)*0.475*44/12</f>
        <v>0</v>
      </c>
      <c r="GM36" s="23">
        <f>EXP(-LN(2)/25)*GM35+(1-EXP(-LN(2)/25))/(LN(2)/25)*Calculateur!GH36*Calculateur!GJ36*VLOOKUP('Données projet'!$B$17,Paramètres!$A$1:$I$89,3,0)*0.475*44/12</f>
        <v>0</v>
      </c>
      <c r="GN36" s="23">
        <f>EXP(-LN(2)/2)*GN35+(1-EXP(-LN(2)/2))/(LN(2)/2)*GH36*GK36*VLOOKUP('Données projet'!$B$17,Paramètres!$A$1:$I$89,3,0)*0.475*44/12</f>
        <v>0</v>
      </c>
      <c r="GO36" s="23">
        <f t="shared" si="27"/>
        <v>0</v>
      </c>
      <c r="GP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53.190303944185388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5.2564102564102573</v>
      </c>
      <c r="GU36" s="13">
        <f>IF('Données projet'!$A$270&gt;35,GU35+GT36-HC35,IF(A36&lt;'Données projet'!$A$270,$GR$205^A36,IF(A36='Données projet'!$A$270,'Données projet'!$B$270,GU35+GT36-HC35)))</f>
        <v>85.000000000000014</v>
      </c>
      <c r="GV36" s="18">
        <f>GU36*VLOOKUP('Données projet'!$B$18,Paramètres!$A$1:$I$89,3,0)*VLOOKUP('Données projet'!$B$18,Paramètres!$A$1:$I$89,5,0)</f>
        <v>57.018000000000008</v>
      </c>
      <c r="GW36" s="14">
        <f t="shared" si="51"/>
        <v>16.412103612717626</v>
      </c>
      <c r="GX36" s="22">
        <f t="shared" si="28"/>
        <v>127.89076379214985</v>
      </c>
      <c r="GY36" s="62">
        <f t="shared" si="29"/>
        <v>359.58854492082958</v>
      </c>
      <c r="GZ36" s="62">
        <f ca="1">AVERAGE(OFFSET($GY$3,0,0,'Données projet'!$E$18+1,1))-AVERAGE(OFFSET($H$3,0,0,'Données projet'!$E$18+1,1))</f>
        <v>254.35742752782755</v>
      </c>
      <c r="HA36" s="62">
        <f t="shared" si="52"/>
        <v>171.79611712137395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>
        <f>EXP(-LN(2)/35)*HG35+(1-EXP(-LN(2)/35))/(LN(2)/35)*HC36*HD36*VLOOKUP('Données projet'!$B$18,Paramètres!$A$1:$I$89,3,0)*0.475*44/12</f>
        <v>0</v>
      </c>
      <c r="HH36" s="23">
        <f>EXP(-LN(2)/25)*HH35+(1-EXP(-LN(2)/25))/(LN(2)/25)*Calculateur!HC36*Calculateur!HE36*VLOOKUP('Données projet'!$B$18,Paramètres!$A$1:$I$89,3,0)*0.475*44/12</f>
        <v>0</v>
      </c>
      <c r="HI36" s="23">
        <f>EXP(-LN(2)/2)*HI35+(1-EXP(-LN(2)/2))/(LN(2)/2)*HC36*HF36*VLOOKUP('Données projet'!$B$18,Paramètres!$A$1:$I$89,3,0)*0.475*44/12</f>
        <v>0</v>
      </c>
      <c r="HJ36" s="24">
        <f t="shared" si="30"/>
        <v>0</v>
      </c>
    </row>
    <row r="37" spans="1:218" s="5" customFormat="1" x14ac:dyDescent="0.3">
      <c r="A37" s="11">
        <f t="shared" si="31"/>
        <v>34</v>
      </c>
      <c r="B37" s="76">
        <f>'Scénario référence'!$B$16*5+'Scénario référence'!$B$17*0+'Scénario référence'!$B$18*5</f>
        <v>3.9405000000000001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14.448500000000001</v>
      </c>
      <c r="H37" s="69">
        <f t="shared" si="1"/>
        <v>161.30656666666667</v>
      </c>
      <c r="I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53.481914589903404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6.5333333333333341</v>
      </c>
      <c r="N37" s="14">
        <f>IF('Données projet'!$A$36&gt;35,N36+M37-V36,IF(A37&lt;'Données projet'!$A$36,$K$205^A37,IF(A37='Données projet'!$A$36,'Données projet'!$B$36,N36+M37-V36)))</f>
        <v>112.80256410256408</v>
      </c>
      <c r="O37" s="14">
        <f>N37*VLOOKUP('Données projet'!$B$9,Paramètres!$A$1:$I$89,3,0)*VLOOKUP('Données projet'!$B$9,Paramètres!$A$1:$I$89,5,0)</f>
        <v>65.989499999999992</v>
      </c>
      <c r="P37" s="14">
        <f t="shared" si="33"/>
        <v>18.674115108430158</v>
      </c>
      <c r="Q37" s="22">
        <f t="shared" si="53"/>
        <v>147.45579631384916</v>
      </c>
      <c r="R37" s="62">
        <f t="shared" si="0"/>
        <v>380.22281647682831</v>
      </c>
      <c r="S37" s="62">
        <f ca="1">AVERAGE(OFFSET($R$3,0,0,'Données projet'!$E$9+1,1))-AVERAGE(OFFSET($H$3,0,0,'Données projet'!$E$9+1,1))</f>
        <v>210.54472399593521</v>
      </c>
      <c r="T37" s="62">
        <f t="shared" si="34"/>
        <v>181.14158435194193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53.481914589903404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4.2399999999999975</v>
      </c>
      <c r="AI37" s="14">
        <f>IF('Données projet'!$A$62&gt;35,AI36+AH37-AQ36,IF(A37&lt;'Données projet'!$A$62,$AF$205^A37,IF(A37='Données projet'!$A$62,'Données projet'!$B$62,AI36+AH37-AQ36)))</f>
        <v>148.76000000000005</v>
      </c>
      <c r="AJ37" s="14">
        <f>AI37*VLOOKUP('Données projet'!$B$10,Paramètres!$A$1:$I$89,3,0)*VLOOKUP('Données projet'!$B$10,Paramètres!$A$1:$I$89,5,0)</f>
        <v>77.355200000000025</v>
      </c>
      <c r="AK37" s="14">
        <f t="shared" si="35"/>
        <v>21.489256950617094</v>
      </c>
      <c r="AL37" s="22">
        <f t="shared" si="4"/>
        <v>172.15409585565814</v>
      </c>
      <c r="AM37" s="62">
        <f t="shared" si="5"/>
        <v>404.92111601863729</v>
      </c>
      <c r="AN37" s="62">
        <f ca="1">AVERAGE(OFFSET($AM$3,0,0,'Données projet'!$E$10+1,1))-AVERAGE(OFFSET($H$3,0,0,'Données projet'!$E$10+1,1))</f>
        <v>289.05608923588198</v>
      </c>
      <c r="AO37" s="62">
        <f t="shared" si="36"/>
        <v>220.06639020312738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53.481914589903404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1.9254166666666663</v>
      </c>
      <c r="BD37" s="13">
        <f>IF('Données projet'!$A$88&gt;35,BD36+BC37-BL36,IF(A37&lt;'Données projet'!$A$88,$BA$205^A37,IF(A37='Données projet'!$A$88,'Données projet'!$B$88,BD36+BC37-BL36)))</f>
        <v>51.114166666666691</v>
      </c>
      <c r="BE37" s="14">
        <f>BD37*VLOOKUP('Données projet'!$B$11,Paramètres!$A$1:$I$89,3,0)*VLOOKUP('Données projet'!$B$11,Paramètres!$A$1:$I$89,5,0)</f>
        <v>58.883520000000026</v>
      </c>
      <c r="BF37" s="14">
        <f t="shared" si="37"/>
        <v>16.885679994502389</v>
      </c>
      <c r="BG37" s="22">
        <f t="shared" si="7"/>
        <v>131.96468999042506</v>
      </c>
      <c r="BH37" s="62">
        <f t="shared" si="8"/>
        <v>364.73171015340421</v>
      </c>
      <c r="BI37" s="62">
        <f ca="1">AVERAGE(OFFSET($BH$3,0,0,'Données projet'!$E$11+1,1))-AVERAGE(OFFSET($H$3,0,0,'Données projet'!$E$11+1,1))</f>
        <v>299.54950406029354</v>
      </c>
      <c r="BJ37" s="62">
        <f t="shared" si="38"/>
        <v>208.26364698165739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53.481914589903404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5.1282051282051295</v>
      </c>
      <c r="BY37" s="13">
        <f>IF('Données projet'!$A$114&gt;35,BY36+BX37-CG36,IF(A37&lt;'Données projet'!$A$114,$BV$205^A37,IF(A37='Données projet'!$A$114,'Données projet'!$B$114,BY36+BX37-CG36)))</f>
        <v>88.461538461538453</v>
      </c>
      <c r="BZ37" s="14">
        <f>BY37*VLOOKUP('Données projet'!$B$12,Paramètres!$A$1:$I$89,3,0)*VLOOKUP('Données projet'!$B$12,Paramètres!$A$1:$I$89,5,0)</f>
        <v>95.219999999999985</v>
      </c>
      <c r="CA37" s="14">
        <f t="shared" si="39"/>
        <v>25.820002631302668</v>
      </c>
      <c r="CB37" s="22">
        <f t="shared" si="10"/>
        <v>210.81133791618547</v>
      </c>
      <c r="CC37" s="62">
        <f t="shared" si="11"/>
        <v>443.57835807916462</v>
      </c>
      <c r="CD37" s="62">
        <f ca="1">AVERAGE(OFFSET($CC$3,0,0,'Données projet'!$E$12+1,1))-AVERAGE(OFFSET($H$3,0,0,'Données projet'!$E$12+1,1))</f>
        <v>441.30518831297212</v>
      </c>
      <c r="CE37" s="62">
        <f t="shared" si="40"/>
        <v>270.42872405271851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53.481914589903404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8.6</v>
      </c>
      <c r="CT37" s="13">
        <f>IF('Données projet'!$A$140&gt;35,CT36+CS37-DB36,IF(A37&lt;'Données projet'!$A$140,$CQ$205^A37,IF(A37='Données projet'!$A$140,'Données projet'!$B$140,CT36+CS37-DB36)))</f>
        <v>148.39999999999998</v>
      </c>
      <c r="CU37" s="18">
        <f>CT37*VLOOKUP('Données projet'!$B$13,Paramètres!$A$1:$I$89,3,0)*VLOOKUP('Données projet'!$B$13,Paramètres!$A$1:$I$89,5,0)</f>
        <v>129.64224000000002</v>
      </c>
      <c r="CV37" s="14">
        <f t="shared" si="41"/>
        <v>33.91367824625322</v>
      </c>
      <c r="CW37" s="22">
        <f t="shared" si="13"/>
        <v>284.85989094555777</v>
      </c>
      <c r="CX37" s="62">
        <f t="shared" si="14"/>
        <v>517.62691110853689</v>
      </c>
      <c r="CY37" s="62">
        <f ca="1">AVERAGE(OFFSET($CX$3,0,0,'Données projet'!$E$13+1,1))-AVERAGE(OFFSET($H$3,0,0,'Données projet'!$E$13+1,1))</f>
        <v>310.81258463659196</v>
      </c>
      <c r="CZ37" s="62">
        <f t="shared" si="42"/>
        <v>287.31099756692083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53.481914589903404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5.1282051282051295</v>
      </c>
      <c r="DO37" s="13">
        <f>IF('Données projet'!$A$166&gt;35,DO36+DN37-DW36,IF(A37&lt;'Données projet'!$A$166,$DL$205^A37,IF(A37='Données projet'!$A$166,'Données projet'!$B$166,DO36+DN37-DW36)))</f>
        <v>88.461538461538453</v>
      </c>
      <c r="DP37" s="18">
        <f>DO37*VLOOKUP('Données projet'!$B$14,Paramètres!$A$1:$I$89,3,0)*VLOOKUP('Données projet'!$B$14,Paramètres!$A$1:$I$89,5,0)</f>
        <v>92.46</v>
      </c>
      <c r="DQ37" s="14">
        <f t="shared" si="43"/>
        <v>25.157583410693299</v>
      </c>
      <c r="DR37" s="22">
        <f t="shared" si="16"/>
        <v>204.85062444029083</v>
      </c>
      <c r="DS37" s="62">
        <f t="shared" si="17"/>
        <v>437.61764460326998</v>
      </c>
      <c r="DT37" s="62">
        <f ca="1">AVERAGE(OFFSET($DS$3,0,0,'Données projet'!$E$14+1,1))-AVERAGE(OFFSET($H$3,0,0,'Données projet'!$E$14+1,1))</f>
        <v>431.19274104373625</v>
      </c>
      <c r="DU37" s="62">
        <f t="shared" si="44"/>
        <v>264.67919175178133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53.481914589903404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8.9230769230769198</v>
      </c>
      <c r="EJ37" s="13">
        <f>IF('Données projet'!$A$192&gt;35,EJ36+EI37-ER36,IF(A37&lt;'Données projet'!$A$192,$EG$205^A37,IF(A37='Données projet'!$A$192,'Données projet'!$B$192,EJ36+EI37-ER36)))</f>
        <v>138.96923076923076</v>
      </c>
      <c r="EK37" s="18">
        <f>EJ37*VLOOKUP('Données projet'!$B$15,Paramètres!$A$1:$I$89,3,0)*VLOOKUP('Données projet'!$B$15,Paramètres!$A$1:$I$89,5,0)</f>
        <v>65.037599999999998</v>
      </c>
      <c r="EL37" s="14">
        <f t="shared" si="45"/>
        <v>18.435894871955274</v>
      </c>
      <c r="EM37" s="22">
        <f t="shared" si="19"/>
        <v>145.38300356865543</v>
      </c>
      <c r="EN37" s="62">
        <f t="shared" si="20"/>
        <v>378.15002373163458</v>
      </c>
      <c r="EO37" s="62">
        <f ca="1">AVERAGE(OFFSET($EN$3,0,0,'Données projet'!$E$15+1,1))-AVERAGE(OFFSET($H$3,0,0,'Données projet'!$E$15+1,1))</f>
        <v>291.68530745507815</v>
      </c>
      <c r="EP37" s="62">
        <f t="shared" si="46"/>
        <v>175.95121106728979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53.481914589903404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6.2</v>
      </c>
      <c r="FE37" s="13">
        <f>IF('Données projet'!$A$218&gt;35,FE36+FD37-FM36,IF(A37&lt;'Données projet'!$A$218,$FB$205^A37,IF(A37='Données projet'!$A$218,'Données projet'!$B$218,FE36+FD37-FM36)))</f>
        <v>137.79999999999993</v>
      </c>
      <c r="FF37" s="18">
        <f>FE37*VLOOKUP('Données projet'!$B$16,Paramètres!$A$1:$I$89,3,0)*VLOOKUP('Données projet'!$B$16,Paramètres!$A$1:$I$89,5,0)</f>
        <v>90.286559999999952</v>
      </c>
      <c r="FG37" s="14">
        <f t="shared" si="47"/>
        <v>24.634323573763073</v>
      </c>
      <c r="FH37" s="22">
        <f t="shared" si="22"/>
        <v>200.15387222430391</v>
      </c>
      <c r="FI37" s="62">
        <f t="shared" si="23"/>
        <v>432.92089238728306</v>
      </c>
      <c r="FJ37" s="62">
        <f ca="1">AVERAGE(OFFSET($FI$3,0,0,'Données projet'!$E$16+1,1))-AVERAGE(OFFSET($H$3,0,0,'Données projet'!$E$16+1,1))</f>
        <v>248.75689726928428</v>
      </c>
      <c r="FK37" s="62">
        <f t="shared" si="48"/>
        <v>232.02291680388336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projet'!$B$16,Paramètres!$A$1:$I$89,3,0)*0.475*44/12</f>
        <v>0</v>
      </c>
      <c r="FR37" s="23">
        <f>EXP(-LN(2)/25)*FR36+(1-EXP(-LN(2)/25))/(LN(2)/25)*Calculateur!FM37*Calculateur!FO37*VLOOKUP('Données projet'!$B$16,Paramètres!$A$1:$I$89,3,0)*0.475*44/12</f>
        <v>0</v>
      </c>
      <c r="FS37" s="23">
        <f>EXP(-LN(2)/2)*FS36+(1-EXP(-LN(2)/2))/(LN(2)/2)*FM37*FP37*VLOOKUP('Données projet'!$B$16,Paramètres!$A$1:$I$89,3,0)*0.475*44/12</f>
        <v>0</v>
      </c>
      <c r="FT37" s="24">
        <f t="shared" si="24"/>
        <v>0</v>
      </c>
      <c r="FU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53.481914589903404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12.777777777777779</v>
      </c>
      <c r="FZ37" s="13">
        <f>IF('Données projet'!$A$244&gt;35,FZ36+FY37-GH36,IF(A37&lt;'Données projet'!$A$244,$FW$205^A37,IF(A37='Données projet'!$A$244,'Données projet'!$B$244,FZ36+FY37-GH36)))</f>
        <v>156.88888888888886</v>
      </c>
      <c r="GA37" s="18">
        <f>FZ37*VLOOKUP('Données projet'!$B$17,Paramètres!$A$1:$I$89,3,0)*VLOOKUP('Données projet'!$B$17,Paramètres!$A$1:$I$89,5,0)</f>
        <v>93.819555555555539</v>
      </c>
      <c r="GB37" s="14">
        <f t="shared" si="49"/>
        <v>25.484169659923545</v>
      </c>
      <c r="GC37" s="22">
        <f t="shared" si="25"/>
        <v>207.78732141695943</v>
      </c>
      <c r="GD37" s="62">
        <f t="shared" si="26"/>
        <v>440.55434157993858</v>
      </c>
      <c r="GE37" s="62">
        <f ca="1">AVERAGE(OFFSET($GD$3,0,0,'Données projet'!$E$17+1,1))-AVERAGE(OFFSET($H$3,0,0,'Données projet'!$E$17+1,1))</f>
        <v>315.909549580511</v>
      </c>
      <c r="GF37" s="62">
        <f t="shared" si="50"/>
        <v>208.56856525402051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projet'!$B$17,Paramètres!$A$1:$I$89,3,0)*0.475*44/12</f>
        <v>0</v>
      </c>
      <c r="GM37" s="23">
        <f>EXP(-LN(2)/25)*GM36+(1-EXP(-LN(2)/25))/(LN(2)/25)*Calculateur!GH37*Calculateur!GJ37*VLOOKUP('Données projet'!$B$17,Paramètres!$A$1:$I$89,3,0)*0.475*44/12</f>
        <v>0</v>
      </c>
      <c r="GN37" s="23">
        <f>EXP(-LN(2)/2)*GN36+(1-EXP(-LN(2)/2))/(LN(2)/2)*GH37*GK37*VLOOKUP('Données projet'!$B$17,Paramètres!$A$1:$I$89,3,0)*0.475*44/12</f>
        <v>0</v>
      </c>
      <c r="GO37" s="23">
        <f t="shared" si="27"/>
        <v>0</v>
      </c>
      <c r="GP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53.481914589903404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5.2564102564102573</v>
      </c>
      <c r="GU37" s="13">
        <f>IF('Données projet'!$A$270&gt;35,GU36+GT37-HC36,IF(A37&lt;'Données projet'!$A$270,$GR$205^A37,IF(A37='Données projet'!$A$270,'Données projet'!$B$270,GU36+GT37-HC36)))</f>
        <v>90.256410256410277</v>
      </c>
      <c r="GV37" s="18">
        <f>GU37*VLOOKUP('Données projet'!$B$18,Paramètres!$A$1:$I$89,3,0)*VLOOKUP('Données projet'!$B$18,Paramètres!$A$1:$I$89,5,0)</f>
        <v>60.544000000000018</v>
      </c>
      <c r="GW37" s="14">
        <f t="shared" si="51"/>
        <v>17.305736946951818</v>
      </c>
      <c r="GX37" s="22">
        <f t="shared" si="28"/>
        <v>135.58829184927444</v>
      </c>
      <c r="GY37" s="62">
        <f t="shared" si="29"/>
        <v>368.35531201225359</v>
      </c>
      <c r="GZ37" s="62">
        <f ca="1">AVERAGE(OFFSET($GY$3,0,0,'Données projet'!$E$18+1,1))-AVERAGE(OFFSET($H$3,0,0,'Données projet'!$E$18+1,1))</f>
        <v>254.35742752782755</v>
      </c>
      <c r="HA37" s="62">
        <f t="shared" si="52"/>
        <v>171.79611712137395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>
        <f>EXP(-LN(2)/35)*HG36+(1-EXP(-LN(2)/35))/(LN(2)/35)*HC37*HD37*VLOOKUP('Données projet'!$B$18,Paramètres!$A$1:$I$89,3,0)*0.475*44/12</f>
        <v>0</v>
      </c>
      <c r="HH37" s="23">
        <f>EXP(-LN(2)/25)*HH36+(1-EXP(-LN(2)/25))/(LN(2)/25)*Calculateur!HC37*Calculateur!HE37*VLOOKUP('Données projet'!$B$18,Paramètres!$A$1:$I$89,3,0)*0.475*44/12</f>
        <v>0</v>
      </c>
      <c r="HI37" s="23">
        <f>EXP(-LN(2)/2)*HI36+(1-EXP(-LN(2)/2))/(LN(2)/2)*HC37*HF37*VLOOKUP('Données projet'!$B$18,Paramètres!$A$1:$I$89,3,0)*0.475*44/12</f>
        <v>0</v>
      </c>
      <c r="HJ37" s="24">
        <f t="shared" si="30"/>
        <v>0</v>
      </c>
    </row>
    <row r="38" spans="1:218" s="5" customFormat="1" x14ac:dyDescent="0.3">
      <c r="A38" s="11">
        <f t="shared" si="31"/>
        <v>35</v>
      </c>
      <c r="B38" s="76">
        <f>'Scénario référence'!$B$16*5+'Scénario référence'!$B$17*0+'Scénario référence'!$B$18*5</f>
        <v>3.9405000000000001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14.448500000000001</v>
      </c>
      <c r="H38" s="69">
        <f t="shared" si="1"/>
        <v>161.30656666666667</v>
      </c>
      <c r="I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53.76846644286195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6.5333333333333341</v>
      </c>
      <c r="N38" s="14">
        <f>IF('Données projet'!$A$36&gt;35,N37+M38-V37,IF(A38&lt;'Données projet'!$A$36,$K$205^A38,IF(A38='Données projet'!$A$36,'Données projet'!$B$36,N37+M38-V37)))</f>
        <v>119.33589743589741</v>
      </c>
      <c r="O38" s="14">
        <f>N38*VLOOKUP('Données projet'!$B$9,Paramètres!$A$1:$I$89,3,0)*VLOOKUP('Données projet'!$B$9,Paramètres!$A$1:$I$89,5,0)</f>
        <v>69.811499999999995</v>
      </c>
      <c r="P38" s="14">
        <f t="shared" si="33"/>
        <v>19.626639033990816</v>
      </c>
      <c r="Q38" s="22">
        <f t="shared" si="53"/>
        <v>155.77142548420065</v>
      </c>
      <c r="R38" s="62">
        <f t="shared" si="0"/>
        <v>389.58913577469445</v>
      </c>
      <c r="S38" s="62">
        <f ca="1">AVERAGE(OFFSET($R$3,0,0,'Données projet'!$E$9+1,1))-AVERAGE(OFFSET($H$3,0,0,'Données projet'!$E$9+1,1))</f>
        <v>210.54472399593521</v>
      </c>
      <c r="T38" s="62">
        <f t="shared" si="34"/>
        <v>181.14158435194193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53.76846644286195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153</v>
      </c>
      <c r="AG38" s="13">
        <f>VLOOKUP(A38,'Données projet'!$A$61:$I$81,9,0)</f>
        <v>4.2399999999999975</v>
      </c>
      <c r="AH38" s="13">
        <f t="array" ref="AH38">INDEX(AG:AG,MIN(IF(ISNUMBER(AG38:AG234),ROW(AG38:AG234),"")))</f>
        <v>4.2399999999999975</v>
      </c>
      <c r="AI38" s="14">
        <f>IF('Données projet'!$A$62&gt;35,AI37+AH38-AQ37,IF(A38&lt;'Données projet'!$A$62,$AF$205^A38,IF(A38='Données projet'!$A$62,'Données projet'!$B$62,AI37+AH38-AQ37)))</f>
        <v>153.00000000000006</v>
      </c>
      <c r="AJ38" s="14">
        <f>AI38*VLOOKUP('Données projet'!$B$10,Paramètres!$A$1:$I$89,3,0)*VLOOKUP('Données projet'!$B$10,Paramètres!$A$1:$I$89,5,0)</f>
        <v>79.560000000000031</v>
      </c>
      <c r="AK38" s="14">
        <f t="shared" si="35"/>
        <v>22.029567333453311</v>
      </c>
      <c r="AL38" s="22">
        <f t="shared" si="4"/>
        <v>176.93516310576456</v>
      </c>
      <c r="AM38" s="62">
        <f t="shared" si="5"/>
        <v>410.75287339625834</v>
      </c>
      <c r="AN38" s="62">
        <f ca="1">AVERAGE(OFFSET($AM$3,0,0,'Données projet'!$E$10+1,1))-AVERAGE(OFFSET($H$3,0,0,'Données projet'!$E$10+1,1))</f>
        <v>289.05608923588198</v>
      </c>
      <c r="AO38" s="62">
        <f t="shared" si="36"/>
        <v>220.06639020312738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53.76846644286195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1.9254166666666663</v>
      </c>
      <c r="BD38" s="13">
        <f>IF('Données projet'!$A$88&gt;35,BD37+BC38-BL37,IF(A38&lt;'Données projet'!$A$88,$BA$205^A38,IF(A38='Données projet'!$A$88,'Données projet'!$B$88,BD37+BC38-BL37)))</f>
        <v>53.039583333333354</v>
      </c>
      <c r="BE38" s="14">
        <f>BD38*VLOOKUP('Données projet'!$B$11,Paramètres!$A$1:$I$89,3,0)*VLOOKUP('Données projet'!$B$11,Paramètres!$A$1:$I$89,5,0)</f>
        <v>61.101600000000019</v>
      </c>
      <c r="BF38" s="14">
        <f t="shared" si="37"/>
        <v>17.446492456972504</v>
      </c>
      <c r="BG38" s="22">
        <f t="shared" si="7"/>
        <v>136.80459436256049</v>
      </c>
      <c r="BH38" s="62">
        <f t="shared" si="8"/>
        <v>370.6223046530543</v>
      </c>
      <c r="BI38" s="62">
        <f ca="1">AVERAGE(OFFSET($BH$3,0,0,'Données projet'!$E$11+1,1))-AVERAGE(OFFSET($H$3,0,0,'Données projet'!$E$11+1,1))</f>
        <v>299.54950406029354</v>
      </c>
      <c r="BJ38" s="62">
        <f t="shared" si="38"/>
        <v>208.26364698165739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53.76846644286195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93.589743589743591</v>
      </c>
      <c r="BW38" s="13">
        <f>VLOOKUP(A38,'Données projet'!$A$113:$I$133,9,0)</f>
        <v>5.1282051282051295</v>
      </c>
      <c r="BX38" s="13">
        <f t="array" ref="BX38">INDEX(BW:BW,MIN(IF(ISNUMBER(BW38:BW234),ROW(BW38:BW234),"")))</f>
        <v>5.1282051282051295</v>
      </c>
      <c r="BY38" s="13">
        <f>IF('Données projet'!$A$114&gt;35,BY37+BX38-CG37,IF(A38&lt;'Données projet'!$A$114,$BV$205^A38,IF(A38='Données projet'!$A$114,'Données projet'!$B$114,BY37+BX38-CG37)))</f>
        <v>93.589743589743577</v>
      </c>
      <c r="BZ38" s="14">
        <f>BY38*VLOOKUP('Données projet'!$B$12,Paramètres!$A$1:$I$89,3,0)*VLOOKUP('Données projet'!$B$12,Paramètres!$A$1:$I$89,5,0)</f>
        <v>100.73999999999998</v>
      </c>
      <c r="CA38" s="14">
        <f t="shared" si="39"/>
        <v>27.138216625628822</v>
      </c>
      <c r="CB38" s="22">
        <f t="shared" si="10"/>
        <v>222.7212272896368</v>
      </c>
      <c r="CC38" s="62">
        <f t="shared" si="11"/>
        <v>456.53893758013061</v>
      </c>
      <c r="CD38" s="62">
        <f ca="1">AVERAGE(OFFSET($CC$3,0,0,'Données projet'!$E$12+1,1))-AVERAGE(OFFSET($H$3,0,0,'Données projet'!$E$12+1,1))</f>
        <v>441.30518831297212</v>
      </c>
      <c r="CE38" s="62">
        <f t="shared" si="40"/>
        <v>270.42872405271851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53.76846644286195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157</v>
      </c>
      <c r="CR38" s="13">
        <f>VLOOKUP(A38,'Données projet'!$A$139:$I$159,9,0)</f>
        <v>8.6</v>
      </c>
      <c r="CS38" s="13">
        <f t="array" ref="CS38">INDEX(CR:CR,MIN(IF(ISNUMBER(CR38:CR234),ROW(CR38:CR234),"")))</f>
        <v>8.6</v>
      </c>
      <c r="CT38" s="13">
        <f>IF('Données projet'!$A$140&gt;35,CT37+CS38-DB37,IF(A38&lt;'Données projet'!$A$140,$CQ$205^A38,IF(A38='Données projet'!$A$140,'Données projet'!$B$140,CT37+CS38-DB37)))</f>
        <v>156.99999999999997</v>
      </c>
      <c r="CU38" s="18">
        <f>CT38*VLOOKUP('Données projet'!$B$13,Paramètres!$A$1:$I$89,3,0)*VLOOKUP('Données projet'!$B$13,Paramètres!$A$1:$I$89,5,0)</f>
        <v>137.15519999999998</v>
      </c>
      <c r="CV38" s="14">
        <f t="shared" si="41"/>
        <v>35.644525151069693</v>
      </c>
      <c r="CW38" s="22">
        <f t="shared" si="13"/>
        <v>300.95952130477968</v>
      </c>
      <c r="CX38" s="62">
        <f t="shared" si="14"/>
        <v>534.77723159527352</v>
      </c>
      <c r="CY38" s="62">
        <f ca="1">AVERAGE(OFFSET($CX$3,0,0,'Données projet'!$E$13+1,1))-AVERAGE(OFFSET($H$3,0,0,'Données projet'!$E$13+1,1))</f>
        <v>310.81258463659196</v>
      </c>
      <c r="CZ38" s="62">
        <f t="shared" si="42"/>
        <v>287.31099756692083</v>
      </c>
      <c r="DA38" s="16">
        <f>IF(ISNA(VLOOKUP(A38,'Données projet'!$A$139:$I$159,3,0)),0,VLOOKUP(A38,'Données projet'!$A$139:$I$159,3,0))</f>
        <v>2</v>
      </c>
      <c r="DB38" s="16">
        <f>IF(ISNA(VLOOKUP(A38,'Données projet'!$A$139:$I$159,4,0)),0,VLOOKUP(A38,'Données projet'!$A$139:$I$159,4,0))</f>
        <v>42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53.76846644286195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93.589743589743591</v>
      </c>
      <c r="DM38" s="13">
        <f>VLOOKUP(A38,'Données projet'!$A$165:$I$185,9,0)</f>
        <v>5.1282051282051295</v>
      </c>
      <c r="DN38" s="13">
        <f t="array" ref="DN38">INDEX(DM:DM,MIN(IF(ISNUMBER(DM38:DM234),ROW(DM38:DM234),"")))</f>
        <v>5.1282051282051295</v>
      </c>
      <c r="DO38" s="13">
        <f>IF('Données projet'!$A$166&gt;35,DO37+DN38-DW37,IF(A38&lt;'Données projet'!$A$166,$DL$205^A38,IF(A38='Données projet'!$A$166,'Données projet'!$B$166,DO37+DN38-DW37)))</f>
        <v>93.589743589743577</v>
      </c>
      <c r="DP38" s="18">
        <f>DO38*VLOOKUP('Données projet'!$B$14,Paramètres!$A$1:$I$89,3,0)*VLOOKUP('Données projet'!$B$14,Paramètres!$A$1:$I$89,5,0)</f>
        <v>97.82</v>
      </c>
      <c r="DQ38" s="14">
        <f t="shared" si="43"/>
        <v>26.44197826490603</v>
      </c>
      <c r="DR38" s="22">
        <f t="shared" si="16"/>
        <v>216.42294547804465</v>
      </c>
      <c r="DS38" s="62">
        <f t="shared" si="17"/>
        <v>450.24065576853843</v>
      </c>
      <c r="DT38" s="62">
        <f ca="1">AVERAGE(OFFSET($DS$3,0,0,'Données projet'!$E$14+1,1))-AVERAGE(OFFSET($H$3,0,0,'Données projet'!$E$14+1,1))</f>
        <v>431.19274104373625</v>
      </c>
      <c r="DU38" s="62">
        <f t="shared" si="44"/>
        <v>264.67919175178133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53.76846644286195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147.89230769230767</v>
      </c>
      <c r="EH38" s="13">
        <f>VLOOKUP(A38,'Données projet'!$A$191:$I$211,9,0)</f>
        <v>8.9230769230769198</v>
      </c>
      <c r="EI38" s="13">
        <f t="array" ref="EI38">INDEX(EH:EH,MIN(IF(ISNUMBER(EH38:EH234),ROW(EH38:EH234),"")))</f>
        <v>8.9230769230769198</v>
      </c>
      <c r="EJ38" s="13">
        <f>IF('Données projet'!$A$192&gt;35,EJ37+EI38-ER37,IF(A38&lt;'Données projet'!$A$192,$EG$205^A38,IF(A38='Données projet'!$A$192,'Données projet'!$B$192,EJ37+EI38-ER37)))</f>
        <v>147.89230769230767</v>
      </c>
      <c r="EK38" s="18">
        <f>EJ38*VLOOKUP('Données projet'!$B$15,Paramètres!$A$1:$I$89,3,0)*VLOOKUP('Données projet'!$B$15,Paramètres!$A$1:$I$89,5,0)</f>
        <v>69.213599999999985</v>
      </c>
      <c r="EL38" s="14">
        <f t="shared" si="45"/>
        <v>19.478038510077166</v>
      </c>
      <c r="EM38" s="22">
        <f t="shared" si="19"/>
        <v>154.47127040505103</v>
      </c>
      <c r="EN38" s="62">
        <f t="shared" si="20"/>
        <v>388.28898069554486</v>
      </c>
      <c r="EO38" s="62">
        <f ca="1">AVERAGE(OFFSET($EN$3,0,0,'Données projet'!$E$15+1,1))-AVERAGE(OFFSET($H$3,0,0,'Données projet'!$E$15+1,1))</f>
        <v>291.68530745507815</v>
      </c>
      <c r="EP38" s="62">
        <f t="shared" si="46"/>
        <v>175.95121106728979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53.76846644286195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>
        <f>VLOOKUP(A38,'Données projet'!$A$217:$I$237,2,0)</f>
        <v>144</v>
      </c>
      <c r="FC38" s="13">
        <f>VLOOKUP(A38,'Données projet'!$A$217:$I$237,9,0)</f>
        <v>6.2</v>
      </c>
      <c r="FD38" s="13">
        <f t="array" ref="FD38">INDEX(FC:FC,MIN(IF(ISNUMBER(FC38:FC234),ROW(FC38:FC234),"")))</f>
        <v>6.2</v>
      </c>
      <c r="FE38" s="13">
        <f>IF('Données projet'!$A$218&gt;35,FE37+FD38-FM37,IF(A38&lt;'Données projet'!$A$218,$FB$205^A38,IF(A38='Données projet'!$A$218,'Données projet'!$B$218,FE37+FD38-FM37)))</f>
        <v>143.99999999999991</v>
      </c>
      <c r="FF38" s="18">
        <f>FE38*VLOOKUP('Données projet'!$B$16,Paramètres!$A$1:$I$89,3,0)*VLOOKUP('Données projet'!$B$16,Paramètres!$A$1:$I$89,5,0)</f>
        <v>94.34879999999994</v>
      </c>
      <c r="FG38" s="14">
        <f t="shared" si="47"/>
        <v>25.611153022386439</v>
      </c>
      <c r="FH38" s="22">
        <f t="shared" si="22"/>
        <v>208.93025151398959</v>
      </c>
      <c r="FI38" s="62">
        <f t="shared" si="23"/>
        <v>442.7479618044834</v>
      </c>
      <c r="FJ38" s="62">
        <f ca="1">AVERAGE(OFFSET($FI$3,0,0,'Données projet'!$E$16+1,1))-AVERAGE(OFFSET($H$3,0,0,'Données projet'!$E$16+1,1))</f>
        <v>248.75689726928428</v>
      </c>
      <c r="FK38" s="62">
        <f t="shared" si="48"/>
        <v>232.02291680388336</v>
      </c>
      <c r="FL38" s="16">
        <f>IF(ISNA(VLOOKUP(A38,'Données projet'!$A$217:$I$237,3,0)),0,VLOOKUP(A38,'Données projet'!$A$217:$I$237,3,0))</f>
        <v>2</v>
      </c>
      <c r="FM38" s="16">
        <f>IF(ISNA(VLOOKUP(A38,'Données projet'!$A$217:$I$237,4,0)),0,VLOOKUP(A38,'Données projet'!$A$217:$I$237,4,0))</f>
        <v>35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projet'!$B$16,Paramètres!$A$1:$I$89,3,0)*0.475*44/12</f>
        <v>0</v>
      </c>
      <c r="FR38" s="23">
        <f>EXP(-LN(2)/25)*FR37+(1-EXP(-LN(2)/25))/(LN(2)/25)*Calculateur!FM38*Calculateur!FO38*VLOOKUP('Données projet'!$B$16,Paramètres!$A$1:$I$89,3,0)*0.475*44/12</f>
        <v>0</v>
      </c>
      <c r="FS38" s="23">
        <f>EXP(-LN(2)/2)*FS37+(1-EXP(-LN(2)/2))/(LN(2)/2)*FM38*FP38*VLOOKUP('Données projet'!$B$16,Paramètres!$A$1:$I$89,3,0)*0.475*44/12</f>
        <v>0</v>
      </c>
      <c r="FT38" s="24">
        <f t="shared" si="24"/>
        <v>0</v>
      </c>
      <c r="FU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53.76846644286195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12.777777777777779</v>
      </c>
      <c r="FZ38" s="13">
        <f>IF('Données projet'!$A$244&gt;35,FZ37+FY38-GH37,IF(A38&lt;'Données projet'!$A$244,$FW$205^A38,IF(A38='Données projet'!$A$244,'Données projet'!$B$244,FZ37+FY38-GH37)))</f>
        <v>169.66666666666663</v>
      </c>
      <c r="GA38" s="18">
        <f>FZ38*VLOOKUP('Données projet'!$B$17,Paramètres!$A$1:$I$89,3,0)*VLOOKUP('Données projet'!$B$17,Paramètres!$A$1:$I$89,5,0)</f>
        <v>101.46066666666665</v>
      </c>
      <c r="GB38" s="14">
        <f t="shared" si="49"/>
        <v>27.309687011536219</v>
      </c>
      <c r="GC38" s="22">
        <f t="shared" si="25"/>
        <v>224.27503265620331</v>
      </c>
      <c r="GD38" s="62">
        <f t="shared" si="26"/>
        <v>458.09274294669711</v>
      </c>
      <c r="GE38" s="62">
        <f ca="1">AVERAGE(OFFSET($GD$3,0,0,'Données projet'!$E$17+1,1))-AVERAGE(OFFSET($H$3,0,0,'Données projet'!$E$17+1,1))</f>
        <v>315.909549580511</v>
      </c>
      <c r="GF38" s="62">
        <f t="shared" si="50"/>
        <v>208.56856525402051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>
        <f>EXP(-LN(2)/35)*GL37+(1-EXP(-LN(2)/35))/(LN(2)/35)*GH38*GI38*VLOOKUP('Données projet'!$B$17,Paramètres!$A$1:$I$89,3,0)*0.475*44/12</f>
        <v>0</v>
      </c>
      <c r="GM38" s="23">
        <f>EXP(-LN(2)/25)*GM37+(1-EXP(-LN(2)/25))/(LN(2)/25)*Calculateur!GH38*Calculateur!GJ38*VLOOKUP('Données projet'!$B$17,Paramètres!$A$1:$I$89,3,0)*0.475*44/12</f>
        <v>0</v>
      </c>
      <c r="GN38" s="23">
        <f>EXP(-LN(2)/2)*GN37+(1-EXP(-LN(2)/2))/(LN(2)/2)*GH38*GK38*VLOOKUP('Données projet'!$B$17,Paramètres!$A$1:$I$89,3,0)*0.475*44/12</f>
        <v>0</v>
      </c>
      <c r="GO38" s="23">
        <f t="shared" si="27"/>
        <v>0</v>
      </c>
      <c r="GP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53.76846644286195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>
        <f>VLOOKUP(A38,'Données projet'!$A$269:$I$289,2,0)</f>
        <v>95.512820512820511</v>
      </c>
      <c r="GS38" s="13">
        <f>VLOOKUP(A38,'Données projet'!$A$269:$I$289,9,0)</f>
        <v>5.2564102564102573</v>
      </c>
      <c r="GT38" s="13">
        <f t="array" ref="GT38">INDEX(GS:GS,MIN(IF(ISNUMBER(GS38:GS234),ROW(GS38:GS234),"")))</f>
        <v>5.2564102564102573</v>
      </c>
      <c r="GU38" s="13">
        <f>IF('Données projet'!$A$270&gt;35,GU37+GT38-HC37,IF(A38&lt;'Données projet'!$A$270,$GR$205^A38,IF(A38='Données projet'!$A$270,'Données projet'!$B$270,GU37+GT38-HC37)))</f>
        <v>95.512820512820539</v>
      </c>
      <c r="GV38" s="18">
        <f>GU38*VLOOKUP('Données projet'!$B$18,Paramètres!$A$1:$I$89,3,0)*VLOOKUP('Données projet'!$B$18,Paramètres!$A$1:$I$89,5,0)</f>
        <v>64.070000000000022</v>
      </c>
      <c r="GW38" s="14">
        <f t="shared" si="51"/>
        <v>18.193329243637638</v>
      </c>
      <c r="GX38" s="22">
        <f t="shared" si="28"/>
        <v>143.27529843266893</v>
      </c>
      <c r="GY38" s="62">
        <f t="shared" si="29"/>
        <v>377.09300872316271</v>
      </c>
      <c r="GZ38" s="62">
        <f ca="1">AVERAGE(OFFSET($GY$3,0,0,'Données projet'!$E$18+1,1))-AVERAGE(OFFSET($H$3,0,0,'Données projet'!$E$18+1,1))</f>
        <v>254.35742752782755</v>
      </c>
      <c r="HA38" s="62">
        <f t="shared" si="52"/>
        <v>171.79611712137395</v>
      </c>
      <c r="HB38" s="16">
        <f>IF(ISNA(VLOOKUP(A38,'Données projet'!$A$269:$I$289,3,0)),0,VLOOKUP(A38,'Données projet'!$A$269:$I$289,3,0))</f>
        <v>2</v>
      </c>
      <c r="HC38" s="16">
        <f>IF(ISNA(VLOOKUP(A38,'Données projet'!$A$269:$I$289,4,0)),0,VLOOKUP(A38,'Données projet'!$A$269:$I$289,4,0))</f>
        <v>21.153846153846153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>
        <f>EXP(-LN(2)/35)*HG37+(1-EXP(-LN(2)/35))/(LN(2)/35)*HC38*HD38*VLOOKUP('Données projet'!$B$18,Paramètres!$A$1:$I$89,3,0)*0.475*44/12</f>
        <v>0</v>
      </c>
      <c r="HH38" s="23">
        <f>EXP(-LN(2)/25)*HH37+(1-EXP(-LN(2)/25))/(LN(2)/25)*Calculateur!HC38*Calculateur!HE38*VLOOKUP('Données projet'!$B$18,Paramètres!$A$1:$I$89,3,0)*0.475*44/12</f>
        <v>0</v>
      </c>
      <c r="HI38" s="23">
        <f>EXP(-LN(2)/2)*HI37+(1-EXP(-LN(2)/2))/(LN(2)/2)*HC38*HF38*VLOOKUP('Données projet'!$B$18,Paramètres!$A$1:$I$89,3,0)*0.475*44/12</f>
        <v>0</v>
      </c>
      <c r="HJ38" s="24">
        <f t="shared" si="30"/>
        <v>0</v>
      </c>
    </row>
    <row r="39" spans="1:218" s="5" customFormat="1" x14ac:dyDescent="0.3">
      <c r="A39" s="11">
        <f t="shared" si="31"/>
        <v>36</v>
      </c>
      <c r="B39" s="76">
        <f>'Scénario référence'!$B$16*5+'Scénario référence'!$B$17*0+'Scénario référence'!$B$18*5</f>
        <v>3.9405000000000001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14.448500000000001</v>
      </c>
      <c r="H39" s="69">
        <f t="shared" si="1"/>
        <v>161.30656666666667</v>
      </c>
      <c r="I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54.050047261805645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>
        <f>VLOOKUP(A39,'Données projet'!$A$35:$I$55,2,0)</f>
        <v>125.86923076923077</v>
      </c>
      <c r="L39" s="13">
        <f>VLOOKUP(A39,'Données projet'!$A$35:$I$55,9,0)</f>
        <v>6.5333333333333341</v>
      </c>
      <c r="M39" s="13">
        <f t="array" ref="M39">INDEX(L:L,MIN(IF(ISNUMBER(L39:L235),ROW(L39:L235),"")))</f>
        <v>6.5333333333333341</v>
      </c>
      <c r="N39" s="14">
        <f>IF('Données projet'!$A$36&gt;35,N38+M39-V38,IF(A39&lt;'Données projet'!$A$36,$K$205^A39,IF(A39='Données projet'!$A$36,'Données projet'!$B$36,N38+M39-V38)))</f>
        <v>125.86923076923074</v>
      </c>
      <c r="O39" s="14">
        <f>N39*VLOOKUP('Données projet'!$B$9,Paramètres!$A$1:$I$89,3,0)*VLOOKUP('Données projet'!$B$9,Paramètres!$A$1:$I$89,5,0)</f>
        <v>73.633499999999984</v>
      </c>
      <c r="P39" s="14">
        <f t="shared" si="33"/>
        <v>20.57310901272707</v>
      </c>
      <c r="Q39" s="22">
        <f t="shared" si="53"/>
        <v>164.07651069716627</v>
      </c>
      <c r="R39" s="62">
        <f t="shared" si="0"/>
        <v>398.92668399045363</v>
      </c>
      <c r="S39" s="62">
        <f ca="1">AVERAGE(OFFSET($R$3,0,0,'Données projet'!$E$9+1,1))-AVERAGE(OFFSET($H$3,0,0,'Données projet'!$E$9+1,1))</f>
        <v>210.54472399593521</v>
      </c>
      <c r="T39" s="62">
        <f t="shared" si="34"/>
        <v>181.14158435194193</v>
      </c>
      <c r="U39" s="16">
        <f>IF(ISNA(VLOOKUP(A39,'Données projet'!$A$35:$I$55,3,0)),0,VLOOKUP(A39,'Données projet'!$A$35:$I$55,3,0))</f>
        <v>1</v>
      </c>
      <c r="V39" s="16">
        <f>IF(ISNA(VLOOKUP(A39,'Données projet'!$A$35:$I$55,4,0)),0,VLOOKUP(A39,'Données projet'!$A$35:$I$55,4,0))</f>
        <v>34.892307692307689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54.050047261805645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4</v>
      </c>
      <c r="AI39" s="14">
        <f>IF('Données projet'!$A$62&gt;35,AI38+AH39-AQ38,IF(A39&lt;'Données projet'!$A$62,$AF$205^A39,IF(A39='Données projet'!$A$62,'Données projet'!$B$62,AI38+AH39-AQ38)))</f>
        <v>157.00000000000006</v>
      </c>
      <c r="AJ39" s="14">
        <f>AI39*VLOOKUP('Données projet'!$B$10,Paramètres!$A$1:$I$89,3,0)*VLOOKUP('Données projet'!$B$10,Paramètres!$A$1:$I$89,5,0)</f>
        <v>81.640000000000029</v>
      </c>
      <c r="AK39" s="14">
        <f t="shared" si="35"/>
        <v>22.537697845766772</v>
      </c>
      <c r="AL39" s="22">
        <f t="shared" si="4"/>
        <v>181.44282374804382</v>
      </c>
      <c r="AM39" s="62">
        <f t="shared" si="5"/>
        <v>416.2929970413312</v>
      </c>
      <c r="AN39" s="62">
        <f ca="1">AVERAGE(OFFSET($AM$3,0,0,'Données projet'!$E$10+1,1))-AVERAGE(OFFSET($H$3,0,0,'Données projet'!$E$10+1,1))</f>
        <v>289.05608923588198</v>
      </c>
      <c r="AO39" s="62">
        <f t="shared" si="36"/>
        <v>220.06639020312738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54.050047261805645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1.9254166666666663</v>
      </c>
      <c r="BD39" s="13">
        <f>IF('Données projet'!$A$88&gt;35,BD38+BC39-BL38,IF(A39&lt;'Données projet'!$A$88,$BA$205^A39,IF(A39='Données projet'!$A$88,'Données projet'!$B$88,BD38+BC39-BL38)))</f>
        <v>54.965000000000018</v>
      </c>
      <c r="BE39" s="14">
        <f>BD39*VLOOKUP('Données projet'!$B$11,Paramètres!$A$1:$I$89,3,0)*VLOOKUP('Données projet'!$B$11,Paramètres!$A$1:$I$89,5,0)</f>
        <v>63.319680000000012</v>
      </c>
      <c r="BF39" s="14">
        <f t="shared" si="37"/>
        <v>18.004939659941751</v>
      </c>
      <c r="BG39" s="22">
        <f t="shared" si="7"/>
        <v>141.64037924106523</v>
      </c>
      <c r="BH39" s="62">
        <f t="shared" si="8"/>
        <v>376.49055253435262</v>
      </c>
      <c r="BI39" s="62">
        <f ca="1">AVERAGE(OFFSET($BH$3,0,0,'Données projet'!$E$11+1,1))-AVERAGE(OFFSET($H$3,0,0,'Données projet'!$E$11+1,1))</f>
        <v>299.54950406029354</v>
      </c>
      <c r="BJ39" s="62">
        <f t="shared" si="38"/>
        <v>208.26364698165739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54.050047261805645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5.1282051282051269</v>
      </c>
      <c r="BY39" s="13">
        <f>IF('Données projet'!$A$114&gt;35,BY38+BX39-CG38,IF(A39&lt;'Données projet'!$A$114,$BV$205^A39,IF(A39='Données projet'!$A$114,'Données projet'!$B$114,BY38+BX39-CG38)))</f>
        <v>98.717948717948701</v>
      </c>
      <c r="BZ39" s="14">
        <f>BY39*VLOOKUP('Données projet'!$B$12,Paramètres!$A$1:$I$89,3,0)*VLOOKUP('Données projet'!$B$12,Paramètres!$A$1:$I$89,5,0)</f>
        <v>106.25999999999998</v>
      </c>
      <c r="CA39" s="14">
        <f t="shared" si="39"/>
        <v>28.448045268890336</v>
      </c>
      <c r="CB39" s="22">
        <f t="shared" si="10"/>
        <v>234.61651217665062</v>
      </c>
      <c r="CC39" s="62">
        <f t="shared" si="11"/>
        <v>469.466685469938</v>
      </c>
      <c r="CD39" s="62">
        <f ca="1">AVERAGE(OFFSET($CC$3,0,0,'Données projet'!$E$12+1,1))-AVERAGE(OFFSET($H$3,0,0,'Données projet'!$E$12+1,1))</f>
        <v>441.30518831297212</v>
      </c>
      <c r="CE39" s="62">
        <f t="shared" si="40"/>
        <v>270.42872405271851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54.050047261805645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7.6</v>
      </c>
      <c r="CT39" s="13">
        <f>IF('Données projet'!$A$140&gt;35,CT38+CS39-DB38,IF(A39&lt;'Données projet'!$A$140,$CQ$205^A39,IF(A39='Données projet'!$A$140,'Données projet'!$B$140,CT38+CS39-DB38)))</f>
        <v>122.59999999999997</v>
      </c>
      <c r="CU39" s="18">
        <f>CT39*VLOOKUP('Données projet'!$B$13,Paramètres!$A$1:$I$89,3,0)*VLOOKUP('Données projet'!$B$13,Paramètres!$A$1:$I$89,5,0)</f>
        <v>107.10336</v>
      </c>
      <c r="CV39" s="14">
        <f t="shared" si="41"/>
        <v>28.647457255358184</v>
      </c>
      <c r="CW39" s="22">
        <f t="shared" si="13"/>
        <v>236.43267338641553</v>
      </c>
      <c r="CX39" s="62">
        <f t="shared" si="14"/>
        <v>471.28284667970291</v>
      </c>
      <c r="CY39" s="62">
        <f ca="1">AVERAGE(OFFSET($CX$3,0,0,'Données projet'!$E$13+1,1))-AVERAGE(OFFSET($H$3,0,0,'Données projet'!$E$13+1,1))</f>
        <v>310.81258463659196</v>
      </c>
      <c r="CZ39" s="62">
        <f t="shared" si="42"/>
        <v>287.31099756692083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54.050047261805645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5.1282051282051269</v>
      </c>
      <c r="DO39" s="13">
        <f>IF('Données projet'!$A$166&gt;35,DO38+DN39-DW38,IF(A39&lt;'Données projet'!$A$166,$DL$205^A39,IF(A39='Données projet'!$A$166,'Données projet'!$B$166,DO38+DN39-DW38)))</f>
        <v>98.717948717948701</v>
      </c>
      <c r="DP39" s="18">
        <f>DO39*VLOOKUP('Données projet'!$B$14,Paramètres!$A$1:$I$89,3,0)*VLOOKUP('Données projet'!$B$14,Paramètres!$A$1:$I$89,5,0)</f>
        <v>103.17999999999999</v>
      </c>
      <c r="DQ39" s="14">
        <f t="shared" si="43"/>
        <v>27.718202896526208</v>
      </c>
      <c r="DR39" s="22">
        <f t="shared" si="16"/>
        <v>227.98103671144975</v>
      </c>
      <c r="DS39" s="62">
        <f t="shared" si="17"/>
        <v>462.83121000473716</v>
      </c>
      <c r="DT39" s="62">
        <f ca="1">AVERAGE(OFFSET($DS$3,0,0,'Données projet'!$E$14+1,1))-AVERAGE(OFFSET($H$3,0,0,'Données projet'!$E$14+1,1))</f>
        <v>431.19274104373625</v>
      </c>
      <c r="DU39" s="62">
        <f t="shared" si="44"/>
        <v>264.67919175178133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54.050047261805645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9.981538461538463</v>
      </c>
      <c r="EJ39" s="13">
        <f>IF('Données projet'!$A$192&gt;35,EJ38+EI39-ER38,IF(A39&lt;'Données projet'!$A$192,$EG$205^A39,IF(A39='Données projet'!$A$192,'Données projet'!$B$192,EJ38+EI39-ER38)))</f>
        <v>157.87384615384613</v>
      </c>
      <c r="EK39" s="18">
        <f>EJ39*VLOOKUP('Données projet'!$B$15,Paramètres!$A$1:$I$89,3,0)*VLOOKUP('Données projet'!$B$15,Paramètres!$A$1:$I$89,5,0)</f>
        <v>73.884959999999992</v>
      </c>
      <c r="EL39" s="14">
        <f t="shared" si="45"/>
        <v>20.635176317181511</v>
      </c>
      <c r="EM39" s="22">
        <f t="shared" si="19"/>
        <v>164.62257075242445</v>
      </c>
      <c r="EN39" s="62">
        <f t="shared" si="20"/>
        <v>399.47274404571181</v>
      </c>
      <c r="EO39" s="62">
        <f ca="1">AVERAGE(OFFSET($EN$3,0,0,'Données projet'!$E$15+1,1))-AVERAGE(OFFSET($H$3,0,0,'Données projet'!$E$15+1,1))</f>
        <v>291.68530745507815</v>
      </c>
      <c r="EP39" s="62">
        <f t="shared" si="46"/>
        <v>175.95121106728979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54.050047261805645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6</v>
      </c>
      <c r="FE39" s="13">
        <f>IF('Données projet'!$A$218&gt;35,FE38+FD39-FM38,IF(A39&lt;'Données projet'!$A$218,$FB$205^A39,IF(A39='Données projet'!$A$218,'Données projet'!$B$218,FE38+FD39-FM38)))</f>
        <v>114.99999999999991</v>
      </c>
      <c r="FF39" s="18">
        <f>FE39*VLOOKUP('Données projet'!$B$16,Paramètres!$A$1:$I$89,3,0)*VLOOKUP('Données projet'!$B$16,Paramètres!$A$1:$I$89,5,0)</f>
        <v>75.347999999999942</v>
      </c>
      <c r="FG39" s="14">
        <f t="shared" si="47"/>
        <v>20.995810517717022</v>
      </c>
      <c r="FH39" s="22">
        <f t="shared" si="22"/>
        <v>167.79880331835705</v>
      </c>
      <c r="FI39" s="62">
        <f t="shared" si="23"/>
        <v>402.64897661164446</v>
      </c>
      <c r="FJ39" s="62">
        <f ca="1">AVERAGE(OFFSET($FI$3,0,0,'Données projet'!$E$16+1,1))-AVERAGE(OFFSET($H$3,0,0,'Données projet'!$E$16+1,1))</f>
        <v>248.75689726928428</v>
      </c>
      <c r="FK39" s="62">
        <f t="shared" si="48"/>
        <v>232.02291680388336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projet'!$B$16,Paramètres!$A$1:$I$89,3,0)*0.475*44/12</f>
        <v>0</v>
      </c>
      <c r="FR39" s="23">
        <f>EXP(-LN(2)/25)*FR38+(1-EXP(-LN(2)/25))/(LN(2)/25)*Calculateur!FM39*Calculateur!FO39*VLOOKUP('Données projet'!$B$16,Paramètres!$A$1:$I$89,3,0)*0.475*44/12</f>
        <v>0</v>
      </c>
      <c r="FS39" s="23">
        <f>EXP(-LN(2)/2)*FS38+(1-EXP(-LN(2)/2))/(LN(2)/2)*FM39*FP39*VLOOKUP('Données projet'!$B$16,Paramètres!$A$1:$I$89,3,0)*0.475*44/12</f>
        <v>0</v>
      </c>
      <c r="FT39" s="24">
        <f t="shared" si="24"/>
        <v>0</v>
      </c>
      <c r="FU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54.050047261805645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12.777777777777779</v>
      </c>
      <c r="FZ39" s="13">
        <f>IF('Données projet'!$A$244&gt;35,FZ38+FY39-GH38,IF(A39&lt;'Données projet'!$A$244,$FW$205^A39,IF(A39='Données projet'!$A$244,'Données projet'!$B$244,FZ38+FY39-GH38)))</f>
        <v>182.4444444444444</v>
      </c>
      <c r="GA39" s="18">
        <f>FZ39*VLOOKUP('Données projet'!$B$17,Paramètres!$A$1:$I$89,3,0)*VLOOKUP('Données projet'!$B$17,Paramètres!$A$1:$I$89,5,0)</f>
        <v>109.10177777777777</v>
      </c>
      <c r="GB39" s="14">
        <f t="shared" si="49"/>
        <v>29.119255529760959</v>
      </c>
      <c r="GC39" s="22">
        <f t="shared" si="25"/>
        <v>240.73496634396329</v>
      </c>
      <c r="GD39" s="62">
        <f t="shared" si="26"/>
        <v>475.58513963725068</v>
      </c>
      <c r="GE39" s="62">
        <f ca="1">AVERAGE(OFFSET($GD$3,0,0,'Données projet'!$E$17+1,1))-AVERAGE(OFFSET($H$3,0,0,'Données projet'!$E$17+1,1))</f>
        <v>315.909549580511</v>
      </c>
      <c r="GF39" s="62">
        <f t="shared" si="50"/>
        <v>208.56856525402051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projet'!$B$17,Paramètres!$A$1:$I$89,3,0)*0.475*44/12</f>
        <v>0</v>
      </c>
      <c r="GM39" s="23">
        <f>EXP(-LN(2)/25)*GM38+(1-EXP(-LN(2)/25))/(LN(2)/25)*Calculateur!GH39*Calculateur!GJ39*VLOOKUP('Données projet'!$B$17,Paramètres!$A$1:$I$89,3,0)*0.475*44/12</f>
        <v>0</v>
      </c>
      <c r="GN39" s="23">
        <f>EXP(-LN(2)/2)*GN38+(1-EXP(-LN(2)/2))/(LN(2)/2)*GH39*GK39*VLOOKUP('Données projet'!$B$17,Paramètres!$A$1:$I$89,3,0)*0.475*44/12</f>
        <v>0</v>
      </c>
      <c r="GO39" s="23">
        <f t="shared" si="27"/>
        <v>0</v>
      </c>
      <c r="GP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54.050047261805645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5.1282051282051269</v>
      </c>
      <c r="GU39" s="13">
        <f>IF('Données projet'!$A$270&gt;35,GU38+GT39-HC38,IF(A39&lt;'Données projet'!$A$270,$GR$205^A39,IF(A39='Données projet'!$A$270,'Données projet'!$B$270,GU38+GT39-HC38)))</f>
        <v>79.487179487179503</v>
      </c>
      <c r="GV39" s="18">
        <f>GU39*VLOOKUP('Données projet'!$B$18,Paramètres!$A$1:$I$89,3,0)*VLOOKUP('Données projet'!$B$18,Paramètres!$A$1:$I$89,5,0)</f>
        <v>53.320000000000007</v>
      </c>
      <c r="GW39" s="14">
        <f t="shared" si="51"/>
        <v>15.467929829752174</v>
      </c>
      <c r="GX39" s="22">
        <f t="shared" si="28"/>
        <v>119.80564445348506</v>
      </c>
      <c r="GY39" s="62">
        <f t="shared" si="29"/>
        <v>354.65581774677241</v>
      </c>
      <c r="GZ39" s="62">
        <f ca="1">AVERAGE(OFFSET($GY$3,0,0,'Données projet'!$E$18+1,1))-AVERAGE(OFFSET($H$3,0,0,'Données projet'!$E$18+1,1))</f>
        <v>254.35742752782755</v>
      </c>
      <c r="HA39" s="62">
        <f t="shared" si="52"/>
        <v>171.79611712137395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>
        <f>EXP(-LN(2)/35)*HG38+(1-EXP(-LN(2)/35))/(LN(2)/35)*HC39*HD39*VLOOKUP('Données projet'!$B$18,Paramètres!$A$1:$I$89,3,0)*0.475*44/12</f>
        <v>0</v>
      </c>
      <c r="HH39" s="23">
        <f>EXP(-LN(2)/25)*HH38+(1-EXP(-LN(2)/25))/(LN(2)/25)*Calculateur!HC39*Calculateur!HE39*VLOOKUP('Données projet'!$B$18,Paramètres!$A$1:$I$89,3,0)*0.475*44/12</f>
        <v>0</v>
      </c>
      <c r="HI39" s="23">
        <f>EXP(-LN(2)/2)*HI38+(1-EXP(-LN(2)/2))/(LN(2)/2)*HC39*HF39*VLOOKUP('Données projet'!$B$18,Paramètres!$A$1:$I$89,3,0)*0.475*44/12</f>
        <v>0</v>
      </c>
      <c r="HJ39" s="24">
        <f t="shared" si="30"/>
        <v>0</v>
      </c>
    </row>
    <row r="40" spans="1:218" s="5" customFormat="1" x14ac:dyDescent="0.3">
      <c r="A40" s="11">
        <f t="shared" si="31"/>
        <v>37</v>
      </c>
      <c r="B40" s="76">
        <f>'Scénario référence'!$B$16*5+'Scénario référence'!$B$17*0+'Scénario référence'!$B$18*5</f>
        <v>3.9405000000000001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14.448500000000001</v>
      </c>
      <c r="H40" s="69">
        <f t="shared" si="1"/>
        <v>161.30656666666667</v>
      </c>
      <c r="I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54.326743283061063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5.9557692307692314</v>
      </c>
      <c r="N40" s="14">
        <f>IF('Données projet'!$A$36&gt;35,N39+M40-V39,IF(A40&lt;'Données projet'!$A$36,$K$205^A40,IF(A40='Données projet'!$A$36,'Données projet'!$B$36,N39+M40-V39)))</f>
        <v>96.932692307692264</v>
      </c>
      <c r="O40" s="14">
        <f>N40*VLOOKUP('Données projet'!$B$9,Paramètres!$A$1:$I$89,3,0)*VLOOKUP('Données projet'!$B$9,Paramètres!$A$1:$I$89,5,0)</f>
        <v>56.705624999999984</v>
      </c>
      <c r="P40" s="14">
        <f t="shared" si="33"/>
        <v>16.332629995030498</v>
      </c>
      <c r="Q40" s="22">
        <f t="shared" si="53"/>
        <v>127.20829411634475</v>
      </c>
      <c r="R40" s="62">
        <f t="shared" si="0"/>
        <v>363.07301948756867</v>
      </c>
      <c r="S40" s="62">
        <f ca="1">AVERAGE(OFFSET($R$3,0,0,'Données projet'!$E$9+1,1))-AVERAGE(OFFSET($H$3,0,0,'Données projet'!$E$9+1,1))</f>
        <v>210.54472399593521</v>
      </c>
      <c r="T40" s="62">
        <f t="shared" si="34"/>
        <v>181.14158435194193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54.326743283061063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4</v>
      </c>
      <c r="AI40" s="14">
        <f>IF('Données projet'!$A$62&gt;35,AI39+AH40-AQ39,IF(A40&lt;'Données projet'!$A$62,$AF$205^A40,IF(A40='Données projet'!$A$62,'Données projet'!$B$62,AI39+AH40-AQ39)))</f>
        <v>161.00000000000006</v>
      </c>
      <c r="AJ40" s="14">
        <f>AI40*VLOOKUP('Données projet'!$B$10,Paramètres!$A$1:$I$89,3,0)*VLOOKUP('Données projet'!$B$10,Paramètres!$A$1:$I$89,5,0)</f>
        <v>83.720000000000027</v>
      </c>
      <c r="AK40" s="14">
        <f t="shared" si="35"/>
        <v>23.044323503842598</v>
      </c>
      <c r="AL40" s="22">
        <f t="shared" si="4"/>
        <v>185.94786343585926</v>
      </c>
      <c r="AM40" s="62">
        <f t="shared" si="5"/>
        <v>421.81258880708316</v>
      </c>
      <c r="AN40" s="62">
        <f ca="1">AVERAGE(OFFSET($AM$3,0,0,'Données projet'!$E$10+1,1))-AVERAGE(OFFSET($H$3,0,0,'Données projet'!$E$10+1,1))</f>
        <v>289.05608923588198</v>
      </c>
      <c r="AO40" s="62">
        <f t="shared" si="36"/>
        <v>220.06639020312738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54.326743283061063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1.9254166666666663</v>
      </c>
      <c r="BD40" s="13">
        <f>IF('Données projet'!$A$88&gt;35,BD39+BC40-BL39,IF(A40&lt;'Données projet'!$A$88,$BA$205^A40,IF(A40='Données projet'!$A$88,'Données projet'!$B$88,BD39+BC40-BL39)))</f>
        <v>56.890416666666681</v>
      </c>
      <c r="BE40" s="14">
        <f>BD40*VLOOKUP('Données projet'!$B$11,Paramètres!$A$1:$I$89,3,0)*VLOOKUP('Données projet'!$B$11,Paramètres!$A$1:$I$89,5,0)</f>
        <v>65.537760000000006</v>
      </c>
      <c r="BF40" s="14">
        <f t="shared" si="37"/>
        <v>18.561113952495973</v>
      </c>
      <c r="BG40" s="22">
        <f t="shared" si="7"/>
        <v>146.47220546726382</v>
      </c>
      <c r="BH40" s="62">
        <f t="shared" si="8"/>
        <v>382.33693083848772</v>
      </c>
      <c r="BI40" s="62">
        <f ca="1">AVERAGE(OFFSET($BH$3,0,0,'Données projet'!$E$11+1,1))-AVERAGE(OFFSET($H$3,0,0,'Données projet'!$E$11+1,1))</f>
        <v>299.54950406029354</v>
      </c>
      <c r="BJ40" s="62">
        <f t="shared" si="38"/>
        <v>208.26364698165739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54.326743283061063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5.1282051282051269</v>
      </c>
      <c r="BY40" s="13">
        <f>IF('Données projet'!$A$114&gt;35,BY39+BX40-CG39,IF(A40&lt;'Données projet'!$A$114,$BV$205^A40,IF(A40='Données projet'!$A$114,'Données projet'!$B$114,BY39+BX40-CG39)))</f>
        <v>103.84615384615383</v>
      </c>
      <c r="BZ40" s="14">
        <f>BY40*VLOOKUP('Données projet'!$B$12,Paramètres!$A$1:$I$89,3,0)*VLOOKUP('Données projet'!$B$12,Paramètres!$A$1:$I$89,5,0)</f>
        <v>111.77999999999997</v>
      </c>
      <c r="CA40" s="14">
        <f t="shared" si="39"/>
        <v>29.749973848058492</v>
      </c>
      <c r="CB40" s="22">
        <f t="shared" si="10"/>
        <v>246.49803778536844</v>
      </c>
      <c r="CC40" s="62">
        <f t="shared" si="11"/>
        <v>482.36276315659234</v>
      </c>
      <c r="CD40" s="62">
        <f ca="1">AVERAGE(OFFSET($CC$3,0,0,'Données projet'!$E$12+1,1))-AVERAGE(OFFSET($H$3,0,0,'Données projet'!$E$12+1,1))</f>
        <v>441.30518831297212</v>
      </c>
      <c r="CE40" s="62">
        <f t="shared" si="40"/>
        <v>270.42872405271851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54.326743283061063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7.6</v>
      </c>
      <c r="CT40" s="13">
        <f>IF('Données projet'!$A$140&gt;35,CT39+CS40-DB39,IF(A40&lt;'Données projet'!$A$140,$CQ$205^A40,IF(A40='Données projet'!$A$140,'Données projet'!$B$140,CT39+CS40-DB39)))</f>
        <v>130.19999999999996</v>
      </c>
      <c r="CU40" s="18">
        <f>CT40*VLOOKUP('Données projet'!$B$13,Paramètres!$A$1:$I$89,3,0)*VLOOKUP('Données projet'!$B$13,Paramètres!$A$1:$I$89,5,0)</f>
        <v>113.74271999999996</v>
      </c>
      <c r="CV40" s="14">
        <f t="shared" si="41"/>
        <v>30.211074114233345</v>
      </c>
      <c r="CW40" s="22">
        <f t="shared" si="13"/>
        <v>250.71952474895636</v>
      </c>
      <c r="CX40" s="62">
        <f t="shared" si="14"/>
        <v>486.58425012018029</v>
      </c>
      <c r="CY40" s="62">
        <f ca="1">AVERAGE(OFFSET($CX$3,0,0,'Données projet'!$E$13+1,1))-AVERAGE(OFFSET($H$3,0,0,'Données projet'!$E$13+1,1))</f>
        <v>310.81258463659196</v>
      </c>
      <c r="CZ40" s="62">
        <f t="shared" si="42"/>
        <v>287.31099756692083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54.326743283061063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5.1282051282051269</v>
      </c>
      <c r="DO40" s="13">
        <f>IF('Données projet'!$A$166&gt;35,DO39+DN40-DW39,IF(A40&lt;'Données projet'!$A$166,$DL$205^A40,IF(A40='Données projet'!$A$166,'Données projet'!$B$166,DO39+DN40-DW39)))</f>
        <v>103.84615384615383</v>
      </c>
      <c r="DP40" s="18">
        <f>DO40*VLOOKUP('Données projet'!$B$14,Paramètres!$A$1:$I$89,3,0)*VLOOKUP('Données projet'!$B$14,Paramètres!$A$1:$I$89,5,0)</f>
        <v>108.53999999999999</v>
      </c>
      <c r="DQ40" s="14">
        <f t="shared" si="43"/>
        <v>28.986730142355373</v>
      </c>
      <c r="DR40" s="22">
        <f t="shared" si="16"/>
        <v>239.52572166460229</v>
      </c>
      <c r="DS40" s="62">
        <f t="shared" si="17"/>
        <v>475.39044703582618</v>
      </c>
      <c r="DT40" s="62">
        <f ca="1">AVERAGE(OFFSET($DS$3,0,0,'Données projet'!$E$14+1,1))-AVERAGE(OFFSET($H$3,0,0,'Données projet'!$E$14+1,1))</f>
        <v>431.19274104373625</v>
      </c>
      <c r="DU40" s="62">
        <f t="shared" si="44"/>
        <v>264.67919175178133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54.326743283061063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9.981538461538463</v>
      </c>
      <c r="EJ40" s="13">
        <f>IF('Données projet'!$A$192&gt;35,EJ39+EI40-ER39,IF(A40&lt;'Données projet'!$A$192,$EG$205^A40,IF(A40='Données projet'!$A$192,'Données projet'!$B$192,EJ39+EI40-ER39)))</f>
        <v>167.85538461538459</v>
      </c>
      <c r="EK40" s="18">
        <f>EJ40*VLOOKUP('Données projet'!$B$15,Paramètres!$A$1:$I$89,3,0)*VLOOKUP('Données projet'!$B$15,Paramètres!$A$1:$I$89,5,0)</f>
        <v>78.556319999999985</v>
      </c>
      <c r="EL40" s="14">
        <f t="shared" si="45"/>
        <v>21.783823615207403</v>
      </c>
      <c r="EM40" s="22">
        <f t="shared" si="19"/>
        <v>174.75908346315285</v>
      </c>
      <c r="EN40" s="62">
        <f t="shared" si="20"/>
        <v>410.62380883437675</v>
      </c>
      <c r="EO40" s="62">
        <f ca="1">AVERAGE(OFFSET($EN$3,0,0,'Données projet'!$E$15+1,1))-AVERAGE(OFFSET($H$3,0,0,'Données projet'!$E$15+1,1))</f>
        <v>291.68530745507815</v>
      </c>
      <c r="EP40" s="62">
        <f t="shared" si="46"/>
        <v>175.95121106728979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54.326743283061063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6</v>
      </c>
      <c r="FE40" s="13">
        <f>IF('Données projet'!$A$218&gt;35,FE39+FD40-FM39,IF(A40&lt;'Données projet'!$A$218,$FB$205^A40,IF(A40='Données projet'!$A$218,'Données projet'!$B$218,FE39+FD40-FM39)))</f>
        <v>120.99999999999991</v>
      </c>
      <c r="FF40" s="18">
        <f>FE40*VLOOKUP('Données projet'!$B$16,Paramètres!$A$1:$I$89,3,0)*VLOOKUP('Données projet'!$B$16,Paramètres!$A$1:$I$89,5,0)</f>
        <v>79.279199999999946</v>
      </c>
      <c r="FG40" s="14">
        <f t="shared" si="47"/>
        <v>21.960852053344627</v>
      </c>
      <c r="FH40" s="22">
        <f t="shared" si="22"/>
        <v>176.32642399290845</v>
      </c>
      <c r="FI40" s="62">
        <f t="shared" si="23"/>
        <v>412.19114936413234</v>
      </c>
      <c r="FJ40" s="62">
        <f ca="1">AVERAGE(OFFSET($FI$3,0,0,'Données projet'!$E$16+1,1))-AVERAGE(OFFSET($H$3,0,0,'Données projet'!$E$16+1,1))</f>
        <v>248.75689726928428</v>
      </c>
      <c r="FK40" s="62">
        <f t="shared" si="48"/>
        <v>232.02291680388336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projet'!$B$16,Paramètres!$A$1:$I$89,3,0)*0.475*44/12</f>
        <v>0</v>
      </c>
      <c r="FR40" s="23">
        <f>EXP(-LN(2)/25)*FR39+(1-EXP(-LN(2)/25))/(LN(2)/25)*Calculateur!FM40*Calculateur!FO40*VLOOKUP('Données projet'!$B$16,Paramètres!$A$1:$I$89,3,0)*0.475*44/12</f>
        <v>0</v>
      </c>
      <c r="FS40" s="23">
        <f>EXP(-LN(2)/2)*FS39+(1-EXP(-LN(2)/2))/(LN(2)/2)*FM40*FP40*VLOOKUP('Données projet'!$B$16,Paramètres!$A$1:$I$89,3,0)*0.475*44/12</f>
        <v>0</v>
      </c>
      <c r="FT40" s="24">
        <f t="shared" si="24"/>
        <v>0</v>
      </c>
      <c r="FU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54.326743283061063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12.777777777777779</v>
      </c>
      <c r="FZ40" s="13">
        <f>IF('Données projet'!$A$244&gt;35,FZ39+FY40-GH39,IF(A40&lt;'Données projet'!$A$244,$FW$205^A40,IF(A40='Données projet'!$A$244,'Données projet'!$B$244,FZ39+FY40-GH39)))</f>
        <v>195.22222222222217</v>
      </c>
      <c r="GA40" s="18">
        <f>FZ40*VLOOKUP('Données projet'!$B$17,Paramètres!$A$1:$I$89,3,0)*VLOOKUP('Données projet'!$B$17,Paramètres!$A$1:$I$89,5,0)</f>
        <v>116.74288888888886</v>
      </c>
      <c r="GB40" s="14">
        <f t="shared" si="49"/>
        <v>30.914119270766037</v>
      </c>
      <c r="GC40" s="22">
        <f t="shared" si="25"/>
        <v>257.1692892113989</v>
      </c>
      <c r="GD40" s="62">
        <f t="shared" si="26"/>
        <v>493.03401458262283</v>
      </c>
      <c r="GE40" s="62">
        <f ca="1">AVERAGE(OFFSET($GD$3,0,0,'Données projet'!$E$17+1,1))-AVERAGE(OFFSET($H$3,0,0,'Données projet'!$E$17+1,1))</f>
        <v>315.909549580511</v>
      </c>
      <c r="GF40" s="62">
        <f t="shared" si="50"/>
        <v>208.56856525402051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projet'!$B$17,Paramètres!$A$1:$I$89,3,0)*0.475*44/12</f>
        <v>0</v>
      </c>
      <c r="GM40" s="23">
        <f>EXP(-LN(2)/25)*GM39+(1-EXP(-LN(2)/25))/(LN(2)/25)*Calculateur!GH40*Calculateur!GJ40*VLOOKUP('Données projet'!$B$17,Paramètres!$A$1:$I$89,3,0)*0.475*44/12</f>
        <v>0</v>
      </c>
      <c r="GN40" s="23">
        <f>EXP(-LN(2)/2)*GN39+(1-EXP(-LN(2)/2))/(LN(2)/2)*GH40*GK40*VLOOKUP('Données projet'!$B$17,Paramètres!$A$1:$I$89,3,0)*0.475*44/12</f>
        <v>0</v>
      </c>
      <c r="GO40" s="23">
        <f t="shared" si="27"/>
        <v>0</v>
      </c>
      <c r="GP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54.326743283061063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5.1282051282051269</v>
      </c>
      <c r="GU40" s="13">
        <f>IF('Données projet'!$A$270&gt;35,GU39+GT40-HC39,IF(A40&lt;'Données projet'!$A$270,$GR$205^A40,IF(A40='Données projet'!$A$270,'Données projet'!$B$270,GU39+GT40-HC39)))</f>
        <v>84.615384615384627</v>
      </c>
      <c r="GV40" s="18">
        <f>GU40*VLOOKUP('Données projet'!$B$18,Paramètres!$A$1:$I$89,3,0)*VLOOKUP('Données projet'!$B$18,Paramètres!$A$1:$I$89,5,0)</f>
        <v>56.760000000000005</v>
      </c>
      <c r="GW40" s="14">
        <f t="shared" si="51"/>
        <v>16.346467593680529</v>
      </c>
      <c r="GX40" s="22">
        <f t="shared" si="28"/>
        <v>127.32709772566024</v>
      </c>
      <c r="GY40" s="62">
        <f t="shared" si="29"/>
        <v>363.19182309688415</v>
      </c>
      <c r="GZ40" s="62">
        <f ca="1">AVERAGE(OFFSET($GY$3,0,0,'Données projet'!$E$18+1,1))-AVERAGE(OFFSET($H$3,0,0,'Données projet'!$E$18+1,1))</f>
        <v>254.35742752782755</v>
      </c>
      <c r="HA40" s="62">
        <f t="shared" si="52"/>
        <v>171.79611712137395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>
        <f>EXP(-LN(2)/35)*HG39+(1-EXP(-LN(2)/35))/(LN(2)/35)*HC40*HD40*VLOOKUP('Données projet'!$B$18,Paramètres!$A$1:$I$89,3,0)*0.475*44/12</f>
        <v>0</v>
      </c>
      <c r="HH40" s="23">
        <f>EXP(-LN(2)/25)*HH39+(1-EXP(-LN(2)/25))/(LN(2)/25)*Calculateur!HC40*Calculateur!HE40*VLOOKUP('Données projet'!$B$18,Paramètres!$A$1:$I$89,3,0)*0.475*44/12</f>
        <v>0</v>
      </c>
      <c r="HI40" s="23">
        <f>EXP(-LN(2)/2)*HI39+(1-EXP(-LN(2)/2))/(LN(2)/2)*HC40*HF40*VLOOKUP('Données projet'!$B$18,Paramètres!$A$1:$I$89,3,0)*0.475*44/12</f>
        <v>0</v>
      </c>
      <c r="HJ40" s="24">
        <f t="shared" si="30"/>
        <v>0</v>
      </c>
    </row>
    <row r="41" spans="1:218" s="5" customFormat="1" x14ac:dyDescent="0.3">
      <c r="A41" s="11">
        <f t="shared" si="31"/>
        <v>38</v>
      </c>
      <c r="B41" s="76">
        <f>'Scénario référence'!$B$16*5+'Scénario référence'!$B$17*0+'Scénario référence'!$B$18*5</f>
        <v>3.9405000000000001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14.448500000000001</v>
      </c>
      <c r="H41" s="69">
        <f t="shared" si="1"/>
        <v>161.30656666666667</v>
      </c>
      <c r="I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54.598639246947322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5.9557692307692314</v>
      </c>
      <c r="N41" s="14">
        <f>IF('Données projet'!$A$36&gt;35,N40+M41-V40,IF(A41&lt;'Données projet'!$A$36,$K$205^A41,IF(A41='Données projet'!$A$36,'Données projet'!$B$36,N40+M41-V40)))</f>
        <v>102.8884615384615</v>
      </c>
      <c r="O41" s="14">
        <f>N41*VLOOKUP('Données projet'!$B$9,Paramètres!$A$1:$I$89,3,0)*VLOOKUP('Données projet'!$B$9,Paramètres!$A$1:$I$89,5,0)</f>
        <v>60.189749999999975</v>
      </c>
      <c r="P41" s="14">
        <f t="shared" si="33"/>
        <v>17.216234946163169</v>
      </c>
      <c r="Q41" s="22">
        <f t="shared" si="53"/>
        <v>134.81542378123416</v>
      </c>
      <c r="R41" s="62">
        <f t="shared" si="0"/>
        <v>371.67710102004105</v>
      </c>
      <c r="S41" s="62">
        <f ca="1">AVERAGE(OFFSET($R$3,0,0,'Données projet'!$E$9+1,1))-AVERAGE(OFFSET($H$3,0,0,'Données projet'!$E$9+1,1))</f>
        <v>210.54472399593521</v>
      </c>
      <c r="T41" s="62">
        <f t="shared" si="34"/>
        <v>181.14158435194193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54.598639246947322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4</v>
      </c>
      <c r="AI41" s="14">
        <f>IF('Données projet'!$A$62&gt;35,AI40+AH41-AQ40,IF(A41&lt;'Données projet'!$A$62,$AF$205^A41,IF(A41='Données projet'!$A$62,'Données projet'!$B$62,AI40+AH41-AQ40)))</f>
        <v>165.00000000000006</v>
      </c>
      <c r="AJ41" s="14">
        <f>AI41*VLOOKUP('Données projet'!$B$10,Paramètres!$A$1:$I$89,3,0)*VLOOKUP('Données projet'!$B$10,Paramètres!$A$1:$I$89,5,0)</f>
        <v>85.80000000000004</v>
      </c>
      <c r="AK41" s="14">
        <f t="shared" si="35"/>
        <v>23.549485995669777</v>
      </c>
      <c r="AL41" s="22">
        <f t="shared" si="4"/>
        <v>190.45035477579162</v>
      </c>
      <c r="AM41" s="62">
        <f t="shared" si="5"/>
        <v>427.31203201459851</v>
      </c>
      <c r="AN41" s="62">
        <f ca="1">AVERAGE(OFFSET($AM$3,0,0,'Données projet'!$E$10+1,1))-AVERAGE(OFFSET($H$3,0,0,'Données projet'!$E$10+1,1))</f>
        <v>289.05608923588198</v>
      </c>
      <c r="AO41" s="62">
        <f t="shared" si="36"/>
        <v>220.06639020312738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54.598639246947322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1.9254166666666663</v>
      </c>
      <c r="BD41" s="13">
        <f>IF('Données projet'!$A$88&gt;35,BD40+BC41-BL40,IF(A41&lt;'Données projet'!$A$88,$BA$205^A41,IF(A41='Données projet'!$A$88,'Données projet'!$B$88,BD40+BC41-BL40)))</f>
        <v>58.815833333333345</v>
      </c>
      <c r="BE41" s="14">
        <f>BD41*VLOOKUP('Données projet'!$B$11,Paramètres!$A$1:$I$89,3,0)*VLOOKUP('Données projet'!$B$11,Paramètres!$A$1:$I$89,5,0)</f>
        <v>67.755840000000006</v>
      </c>
      <c r="BF41" s="14">
        <f t="shared" si="37"/>
        <v>19.115101078108083</v>
      </c>
      <c r="BG41" s="22">
        <f t="shared" si="7"/>
        <v>151.3002223777049</v>
      </c>
      <c r="BH41" s="62">
        <f t="shared" si="8"/>
        <v>388.16189961651179</v>
      </c>
      <c r="BI41" s="62">
        <f ca="1">AVERAGE(OFFSET($BH$3,0,0,'Données projet'!$E$11+1,1))-AVERAGE(OFFSET($H$3,0,0,'Données projet'!$E$11+1,1))</f>
        <v>299.54950406029354</v>
      </c>
      <c r="BJ41" s="62">
        <f t="shared" si="38"/>
        <v>208.26364698165739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54.598639246947322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5.1282051282051269</v>
      </c>
      <c r="BY41" s="13">
        <f>IF('Données projet'!$A$114&gt;35,BY40+BX41-CG40,IF(A41&lt;'Données projet'!$A$114,$BV$205^A41,IF(A41='Données projet'!$A$114,'Données projet'!$B$114,BY40+BX41-CG40)))</f>
        <v>108.97435897435895</v>
      </c>
      <c r="BZ41" s="14">
        <f>BY41*VLOOKUP('Données projet'!$B$12,Paramètres!$A$1:$I$89,3,0)*VLOOKUP('Données projet'!$B$12,Paramètres!$A$1:$I$89,5,0)</f>
        <v>117.29999999999995</v>
      </c>
      <c r="CA41" s="14">
        <f t="shared" si="39"/>
        <v>31.044437012840874</v>
      </c>
      <c r="CB41" s="22">
        <f t="shared" si="10"/>
        <v>258.36656113069779</v>
      </c>
      <c r="CC41" s="62">
        <f t="shared" si="11"/>
        <v>495.22823836950465</v>
      </c>
      <c r="CD41" s="62">
        <f ca="1">AVERAGE(OFFSET($CC$3,0,0,'Données projet'!$E$12+1,1))-AVERAGE(OFFSET($H$3,0,0,'Données projet'!$E$12+1,1))</f>
        <v>441.30518831297212</v>
      </c>
      <c r="CE41" s="62">
        <f t="shared" si="40"/>
        <v>270.42872405271851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54.598639246947322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7.6</v>
      </c>
      <c r="CT41" s="13">
        <f>IF('Données projet'!$A$140&gt;35,CT40+CS41-DB40,IF(A41&lt;'Données projet'!$A$140,$CQ$205^A41,IF(A41='Données projet'!$A$140,'Données projet'!$B$140,CT40+CS41-DB40)))</f>
        <v>137.79999999999995</v>
      </c>
      <c r="CU41" s="18">
        <f>CT41*VLOOKUP('Données projet'!$B$13,Paramètres!$A$1:$I$89,3,0)*VLOOKUP('Données projet'!$B$13,Paramètres!$A$1:$I$89,5,0)</f>
        <v>120.38207999999997</v>
      </c>
      <c r="CV41" s="14">
        <f t="shared" si="41"/>
        <v>31.764096685603551</v>
      </c>
      <c r="CW41" s="22">
        <f t="shared" si="13"/>
        <v>264.98792439409277</v>
      </c>
      <c r="CX41" s="62">
        <f t="shared" si="14"/>
        <v>501.84960163289963</v>
      </c>
      <c r="CY41" s="62">
        <f ca="1">AVERAGE(OFFSET($CX$3,0,0,'Données projet'!$E$13+1,1))-AVERAGE(OFFSET($H$3,0,0,'Données projet'!$E$13+1,1))</f>
        <v>310.81258463659196</v>
      </c>
      <c r="CZ41" s="62">
        <f t="shared" si="42"/>
        <v>287.31099756692083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54.598639246947322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5.1282051282051269</v>
      </c>
      <c r="DO41" s="13">
        <f>IF('Données projet'!$A$166&gt;35,DO40+DN41-DW40,IF(A41&lt;'Données projet'!$A$166,$DL$205^A41,IF(A41='Données projet'!$A$166,'Données projet'!$B$166,DO40+DN41-DW40)))</f>
        <v>108.97435897435895</v>
      </c>
      <c r="DP41" s="18">
        <f>DO41*VLOOKUP('Données projet'!$B$14,Paramètres!$A$1:$I$89,3,0)*VLOOKUP('Données projet'!$B$14,Paramètres!$A$1:$I$89,5,0)</f>
        <v>113.89999999999998</v>
      </c>
      <c r="DQ41" s="14">
        <f t="shared" si="43"/>
        <v>30.247983501044125</v>
      </c>
      <c r="DR41" s="22">
        <f t="shared" si="16"/>
        <v>251.05773793098513</v>
      </c>
      <c r="DS41" s="62">
        <f t="shared" si="17"/>
        <v>487.91941516979205</v>
      </c>
      <c r="DT41" s="62">
        <f ca="1">AVERAGE(OFFSET($DS$3,0,0,'Données projet'!$E$14+1,1))-AVERAGE(OFFSET($H$3,0,0,'Données projet'!$E$14+1,1))</f>
        <v>431.19274104373625</v>
      </c>
      <c r="DU41" s="62">
        <f t="shared" si="44"/>
        <v>264.67919175178133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54.598639246947322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9.981538461538463</v>
      </c>
      <c r="EJ41" s="13">
        <f>IF('Données projet'!$A$192&gt;35,EJ40+EI41-ER40,IF(A41&lt;'Données projet'!$A$192,$EG$205^A41,IF(A41='Données projet'!$A$192,'Données projet'!$B$192,EJ40+EI41-ER40)))</f>
        <v>177.83692307692306</v>
      </c>
      <c r="EK41" s="18">
        <f>EJ41*VLOOKUP('Données projet'!$B$15,Paramètres!$A$1:$I$89,3,0)*VLOOKUP('Données projet'!$B$15,Paramètres!$A$1:$I$89,5,0)</f>
        <v>83.227679999999978</v>
      </c>
      <c r="EL41" s="14">
        <f t="shared" si="45"/>
        <v>22.924542798244513</v>
      </c>
      <c r="EM41" s="22">
        <f t="shared" si="19"/>
        <v>184.88178804027584</v>
      </c>
      <c r="EN41" s="62">
        <f t="shared" si="20"/>
        <v>421.74346527908273</v>
      </c>
      <c r="EO41" s="62">
        <f ca="1">AVERAGE(OFFSET($EN$3,0,0,'Données projet'!$E$15+1,1))-AVERAGE(OFFSET($H$3,0,0,'Données projet'!$E$15+1,1))</f>
        <v>291.68530745507815</v>
      </c>
      <c r="EP41" s="62">
        <f t="shared" si="46"/>
        <v>175.95121106728979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54.598639246947322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6</v>
      </c>
      <c r="FE41" s="13">
        <f>IF('Données projet'!$A$218&gt;35,FE40+FD41-FM40,IF(A41&lt;'Données projet'!$A$218,$FB$205^A41,IF(A41='Données projet'!$A$218,'Données projet'!$B$218,FE40+FD41-FM40)))</f>
        <v>126.99999999999991</v>
      </c>
      <c r="FF41" s="18">
        <f>FE41*VLOOKUP('Données projet'!$B$16,Paramètres!$A$1:$I$89,3,0)*VLOOKUP('Données projet'!$B$16,Paramètres!$A$1:$I$89,5,0)</f>
        <v>83.210399999999936</v>
      </c>
      <c r="FG41" s="14">
        <f t="shared" si="47"/>
        <v>22.920337105048574</v>
      </c>
      <c r="FH41" s="22">
        <f t="shared" si="22"/>
        <v>184.84436712462616</v>
      </c>
      <c r="FI41" s="62">
        <f t="shared" si="23"/>
        <v>421.70604436343308</v>
      </c>
      <c r="FJ41" s="62">
        <f ca="1">AVERAGE(OFFSET($FI$3,0,0,'Données projet'!$E$16+1,1))-AVERAGE(OFFSET($H$3,0,0,'Données projet'!$E$16+1,1))</f>
        <v>248.75689726928428</v>
      </c>
      <c r="FK41" s="62">
        <f t="shared" si="48"/>
        <v>232.02291680388336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projet'!$B$16,Paramètres!$A$1:$I$89,3,0)*0.475*44/12</f>
        <v>0</v>
      </c>
      <c r="FR41" s="23">
        <f>EXP(-LN(2)/25)*FR40+(1-EXP(-LN(2)/25))/(LN(2)/25)*Calculateur!FM41*Calculateur!FO41*VLOOKUP('Données projet'!$B$16,Paramètres!$A$1:$I$89,3,0)*0.475*44/12</f>
        <v>0</v>
      </c>
      <c r="FS41" s="23">
        <f>EXP(-LN(2)/2)*FS40+(1-EXP(-LN(2)/2))/(LN(2)/2)*FM41*FP41*VLOOKUP('Données projet'!$B$16,Paramètres!$A$1:$I$89,3,0)*0.475*44/12</f>
        <v>0</v>
      </c>
      <c r="FT41" s="24">
        <f t="shared" si="24"/>
        <v>0</v>
      </c>
      <c r="FU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54.598639246947322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>
        <f>VLOOKUP(A41,'Données projet'!$A$243:$I$263,2,0)</f>
        <v>208</v>
      </c>
      <c r="FX41" s="13">
        <f>VLOOKUP(A41,'Données projet'!$A$243:$I$263,9,0)</f>
        <v>12.777777777777779</v>
      </c>
      <c r="FY41" s="13">
        <f t="array" ref="FY41">INDEX(FX:FX,MIN(IF(ISNUMBER(FX41:FX237),ROW(FX41:FX237),"")))</f>
        <v>12.777777777777779</v>
      </c>
      <c r="FZ41" s="13">
        <f>IF('Données projet'!$A$244&gt;35,FZ40+FY41-GH40,IF(A41&lt;'Données projet'!$A$244,$FW$205^A41,IF(A41='Données projet'!$A$244,'Données projet'!$B$244,FZ40+FY41-GH40)))</f>
        <v>207.99999999999994</v>
      </c>
      <c r="GA41" s="18">
        <f>FZ41*VLOOKUP('Données projet'!$B$17,Paramètres!$A$1:$I$89,3,0)*VLOOKUP('Données projet'!$B$17,Paramètres!$A$1:$I$89,5,0)</f>
        <v>124.38399999999997</v>
      </c>
      <c r="GB41" s="14">
        <f t="shared" si="49"/>
        <v>32.695350227217666</v>
      </c>
      <c r="GC41" s="22">
        <f t="shared" si="25"/>
        <v>273.57986831240407</v>
      </c>
      <c r="GD41" s="62">
        <f t="shared" si="26"/>
        <v>510.44154555121099</v>
      </c>
      <c r="GE41" s="62">
        <f ca="1">AVERAGE(OFFSET($GD$3,0,0,'Données projet'!$E$17+1,1))-AVERAGE(OFFSET($H$3,0,0,'Données projet'!$E$17+1,1))</f>
        <v>315.909549580511</v>
      </c>
      <c r="GF41" s="62">
        <f t="shared" si="50"/>
        <v>208.56856525402051</v>
      </c>
      <c r="GG41" s="16">
        <f>IF(ISNA(VLOOKUP(A41,'Données projet'!$A$243:$I$263,3,0)),0,VLOOKUP(A41,'Données projet'!$A$243:$I$263,3,0))</f>
        <v>2</v>
      </c>
      <c r="GH41" s="16">
        <f>IF(ISNA(VLOOKUP(A41,'Données projet'!$A$243:$I$263,4,0)),0,VLOOKUP(A41,'Données projet'!$A$243:$I$263,4,0))</f>
        <v>73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projet'!$B$17,Paramètres!$A$1:$I$89,3,0)*0.475*44/12</f>
        <v>0</v>
      </c>
      <c r="GM41" s="23">
        <f>EXP(-LN(2)/25)*GM40+(1-EXP(-LN(2)/25))/(LN(2)/25)*Calculateur!GH41*Calculateur!GJ41*VLOOKUP('Données projet'!$B$17,Paramètres!$A$1:$I$89,3,0)*0.475*44/12</f>
        <v>0</v>
      </c>
      <c r="GN41" s="23">
        <f>EXP(-LN(2)/2)*GN40+(1-EXP(-LN(2)/2))/(LN(2)/2)*GH41*GK41*VLOOKUP('Données projet'!$B$17,Paramètres!$A$1:$I$89,3,0)*0.475*44/12</f>
        <v>0</v>
      </c>
      <c r="GO41" s="23">
        <f t="shared" si="27"/>
        <v>0</v>
      </c>
      <c r="GP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54.598639246947322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5.1282051282051269</v>
      </c>
      <c r="GU41" s="13">
        <f>IF('Données projet'!$A$270&gt;35,GU40+GT41-HC40,IF(A41&lt;'Données projet'!$A$270,$GR$205^A41,IF(A41='Données projet'!$A$270,'Données projet'!$B$270,GU40+GT41-HC40)))</f>
        <v>89.743589743589752</v>
      </c>
      <c r="GV41" s="18">
        <f>GU41*VLOOKUP('Données projet'!$B$18,Paramètres!$A$1:$I$89,3,0)*VLOOKUP('Données projet'!$B$18,Paramètres!$A$1:$I$89,5,0)</f>
        <v>60.2</v>
      </c>
      <c r="GW41" s="14">
        <f t="shared" si="51"/>
        <v>17.218825489785274</v>
      </c>
      <c r="GX41" s="22">
        <f t="shared" si="28"/>
        <v>134.83778772804268</v>
      </c>
      <c r="GY41" s="62">
        <f t="shared" si="29"/>
        <v>371.69946496684958</v>
      </c>
      <c r="GZ41" s="62">
        <f ca="1">AVERAGE(OFFSET($GY$3,0,0,'Données projet'!$E$18+1,1))-AVERAGE(OFFSET($H$3,0,0,'Données projet'!$E$18+1,1))</f>
        <v>254.35742752782755</v>
      </c>
      <c r="HA41" s="62">
        <f t="shared" si="52"/>
        <v>171.79611712137395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>
        <f>EXP(-LN(2)/35)*HG40+(1-EXP(-LN(2)/35))/(LN(2)/35)*HC41*HD41*VLOOKUP('Données projet'!$B$18,Paramètres!$A$1:$I$89,3,0)*0.475*44/12</f>
        <v>0</v>
      </c>
      <c r="HH41" s="23">
        <f>EXP(-LN(2)/25)*HH40+(1-EXP(-LN(2)/25))/(LN(2)/25)*Calculateur!HC41*Calculateur!HE41*VLOOKUP('Données projet'!$B$18,Paramètres!$A$1:$I$89,3,0)*0.475*44/12</f>
        <v>0</v>
      </c>
      <c r="HI41" s="23">
        <f>EXP(-LN(2)/2)*HI40+(1-EXP(-LN(2)/2))/(LN(2)/2)*HC41*HF41*VLOOKUP('Données projet'!$B$18,Paramètres!$A$1:$I$89,3,0)*0.475*44/12</f>
        <v>0</v>
      </c>
      <c r="HJ41" s="24">
        <f t="shared" si="30"/>
        <v>0</v>
      </c>
    </row>
    <row r="42" spans="1:218" s="5" customFormat="1" x14ac:dyDescent="0.3">
      <c r="A42" s="11">
        <f t="shared" si="31"/>
        <v>39</v>
      </c>
      <c r="B42" s="76">
        <f>'Scénario référence'!$B$16*5+'Scénario référence'!$B$17*0+'Scénario référence'!$B$18*5</f>
        <v>3.9405000000000001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14.448500000000001</v>
      </c>
      <c r="H42" s="69">
        <f t="shared" si="1"/>
        <v>161.30656666666667</v>
      </c>
      <c r="I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54.865818423728477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5.9557692307692314</v>
      </c>
      <c r="N42" s="14">
        <f>IF('Données projet'!$A$36&gt;35,N41+M42-V41,IF(A42&lt;'Données projet'!$A$36,$K$205^A42,IF(A42='Données projet'!$A$36,'Données projet'!$B$36,N41+M42-V41)))</f>
        <v>108.84423076923073</v>
      </c>
      <c r="O42" s="14">
        <f>N42*VLOOKUP('Données projet'!$B$9,Paramètres!$A$1:$I$89,3,0)*VLOOKUP('Données projet'!$B$9,Paramètres!$A$1:$I$89,5,0)</f>
        <v>63.673874999999981</v>
      </c>
      <c r="P42" s="14">
        <f t="shared" si="33"/>
        <v>18.093902773742549</v>
      </c>
      <c r="Q42" s="22">
        <f t="shared" si="53"/>
        <v>142.41221295593488</v>
      </c>
      <c r="R42" s="62">
        <f t="shared" si="0"/>
        <v>380.25354717627266</v>
      </c>
      <c r="S42" s="62">
        <f ca="1">AVERAGE(OFFSET($R$3,0,0,'Données projet'!$E$9+1,1))-AVERAGE(OFFSET($H$3,0,0,'Données projet'!$E$9+1,1))</f>
        <v>210.54472399593521</v>
      </c>
      <c r="T42" s="62">
        <f t="shared" si="34"/>
        <v>181.14158435194193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54.865818423728477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4</v>
      </c>
      <c r="AI42" s="14">
        <f>IF('Données projet'!$A$62&gt;35,AI41+AH42-AQ41,IF(A42&lt;'Données projet'!$A$62,$AF$205^A42,IF(A42='Données projet'!$A$62,'Données projet'!$B$62,AI41+AH42-AQ41)))</f>
        <v>169.00000000000006</v>
      </c>
      <c r="AJ42" s="14">
        <f>AI42*VLOOKUP('Données projet'!$B$10,Paramètres!$A$1:$I$89,3,0)*VLOOKUP('Données projet'!$B$10,Paramètres!$A$1:$I$89,5,0)</f>
        <v>87.880000000000038</v>
      </c>
      <c r="AK42" s="14">
        <f t="shared" si="35"/>
        <v>24.053224872750018</v>
      </c>
      <c r="AL42" s="22">
        <f t="shared" si="4"/>
        <v>194.95036665337298</v>
      </c>
      <c r="AM42" s="62">
        <f t="shared" si="5"/>
        <v>432.79170087371074</v>
      </c>
      <c r="AN42" s="62">
        <f ca="1">AVERAGE(OFFSET($AM$3,0,0,'Données projet'!$E$10+1,1))-AVERAGE(OFFSET($H$3,0,0,'Données projet'!$E$10+1,1))</f>
        <v>289.05608923588198</v>
      </c>
      <c r="AO42" s="62">
        <f t="shared" si="36"/>
        <v>220.06639020312738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54.865818423728477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1.9254166666666663</v>
      </c>
      <c r="BD42" s="13">
        <f>IF('Données projet'!$A$88&gt;35,BD41+BC42-BL41,IF(A42&lt;'Données projet'!$A$88,$BA$205^A42,IF(A42='Données projet'!$A$88,'Données projet'!$B$88,BD41+BC42-BL41)))</f>
        <v>60.741250000000008</v>
      </c>
      <c r="BE42" s="14">
        <f>BD42*VLOOKUP('Données projet'!$B$11,Paramètres!$A$1:$I$89,3,0)*VLOOKUP('Données projet'!$B$11,Paramètres!$A$1:$I$89,5,0)</f>
        <v>69.973920000000007</v>
      </c>
      <c r="BF42" s="14">
        <f t="shared" si="37"/>
        <v>19.666980847748825</v>
      </c>
      <c r="BG42" s="22">
        <f t="shared" si="7"/>
        <v>156.12456897649591</v>
      </c>
      <c r="BH42" s="62">
        <f t="shared" si="8"/>
        <v>393.96590319683366</v>
      </c>
      <c r="BI42" s="62">
        <f ca="1">AVERAGE(OFFSET($BH$3,0,0,'Données projet'!$E$11+1,1))-AVERAGE(OFFSET($H$3,0,0,'Données projet'!$E$11+1,1))</f>
        <v>299.54950406029354</v>
      </c>
      <c r="BJ42" s="62">
        <f t="shared" si="38"/>
        <v>208.26364698165739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54.865818423728477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5.1282051282051269</v>
      </c>
      <c r="BY42" s="13">
        <f>IF('Données projet'!$A$114&gt;35,BY41+BX42-CG41,IF(A42&lt;'Données projet'!$A$114,$BV$205^A42,IF(A42='Données projet'!$A$114,'Données projet'!$B$114,BY41+BX42-CG41)))</f>
        <v>114.10256410256407</v>
      </c>
      <c r="BZ42" s="14">
        <f>BY42*VLOOKUP('Données projet'!$B$12,Paramètres!$A$1:$I$89,3,0)*VLOOKUP('Données projet'!$B$12,Paramètres!$A$1:$I$89,5,0)</f>
        <v>122.81999999999995</v>
      </c>
      <c r="CA42" s="14">
        <f t="shared" si="39"/>
        <v>32.331826192996864</v>
      </c>
      <c r="CB42" s="22">
        <f t="shared" si="10"/>
        <v>270.22276395280278</v>
      </c>
      <c r="CC42" s="62">
        <f t="shared" si="11"/>
        <v>508.06409817314056</v>
      </c>
      <c r="CD42" s="62">
        <f ca="1">AVERAGE(OFFSET($CC$3,0,0,'Données projet'!$E$12+1,1))-AVERAGE(OFFSET($H$3,0,0,'Données projet'!$E$12+1,1))</f>
        <v>441.30518831297212</v>
      </c>
      <c r="CE42" s="62">
        <f t="shared" si="40"/>
        <v>270.42872405271851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54.865818423728477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7.6</v>
      </c>
      <c r="CT42" s="13">
        <f>IF('Données projet'!$A$140&gt;35,CT41+CS42-DB41,IF(A42&lt;'Données projet'!$A$140,$CQ$205^A42,IF(A42='Données projet'!$A$140,'Données projet'!$B$140,CT41+CS42-DB41)))</f>
        <v>145.39999999999995</v>
      </c>
      <c r="CU42" s="18">
        <f>CT42*VLOOKUP('Données projet'!$B$13,Paramètres!$A$1:$I$89,3,0)*VLOOKUP('Données projet'!$B$13,Paramètres!$A$1:$I$89,5,0)</f>
        <v>127.02143999999997</v>
      </c>
      <c r="CV42" s="14">
        <f t="shared" si="41"/>
        <v>33.307175870664402</v>
      </c>
      <c r="CW42" s="22">
        <f t="shared" si="13"/>
        <v>279.23900597474045</v>
      </c>
      <c r="CX42" s="62">
        <f t="shared" si="14"/>
        <v>517.08034019507818</v>
      </c>
      <c r="CY42" s="62">
        <f ca="1">AVERAGE(OFFSET($CX$3,0,0,'Données projet'!$E$13+1,1))-AVERAGE(OFFSET($H$3,0,0,'Données projet'!$E$13+1,1))</f>
        <v>310.81258463659196</v>
      </c>
      <c r="CZ42" s="62">
        <f t="shared" si="42"/>
        <v>287.31099756692083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54.865818423728477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5.1282051282051269</v>
      </c>
      <c r="DO42" s="13">
        <f>IF('Données projet'!$A$166&gt;35,DO41+DN42-DW41,IF(A42&lt;'Données projet'!$A$166,$DL$205^A42,IF(A42='Données projet'!$A$166,'Données projet'!$B$166,DO41+DN42-DW41)))</f>
        <v>114.10256410256407</v>
      </c>
      <c r="DP42" s="18">
        <f>DO42*VLOOKUP('Données projet'!$B$14,Paramètres!$A$1:$I$89,3,0)*VLOOKUP('Données projet'!$B$14,Paramètres!$A$1:$I$89,5,0)</f>
        <v>119.25999999999998</v>
      </c>
      <c r="DQ42" s="14">
        <f t="shared" si="43"/>
        <v>31.50234436011446</v>
      </c>
      <c r="DR42" s="22">
        <f t="shared" si="16"/>
        <v>262.57774976053264</v>
      </c>
      <c r="DS42" s="62">
        <f t="shared" si="17"/>
        <v>500.41908398087043</v>
      </c>
      <c r="DT42" s="62">
        <f ca="1">AVERAGE(OFFSET($DS$3,0,0,'Données projet'!$E$14+1,1))-AVERAGE(OFFSET($H$3,0,0,'Données projet'!$E$14+1,1))</f>
        <v>431.19274104373625</v>
      </c>
      <c r="DU42" s="62">
        <f t="shared" si="44"/>
        <v>264.67919175178133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54.865818423728477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9.981538461538463</v>
      </c>
      <c r="EJ42" s="13">
        <f>IF('Données projet'!$A$192&gt;35,EJ41+EI42-ER41,IF(A42&lt;'Données projet'!$A$192,$EG$205^A42,IF(A42='Données projet'!$A$192,'Données projet'!$B$192,EJ41+EI42-ER41)))</f>
        <v>187.81846153846152</v>
      </c>
      <c r="EK42" s="18">
        <f>EJ42*VLOOKUP('Données projet'!$B$15,Paramètres!$A$1:$I$89,3,0)*VLOOKUP('Données projet'!$B$15,Paramètres!$A$1:$I$89,5,0)</f>
        <v>87.899039999999985</v>
      </c>
      <c r="EL42" s="14">
        <f t="shared" si="45"/>
        <v>24.05782956318463</v>
      </c>
      <c r="EM42" s="22">
        <f t="shared" si="19"/>
        <v>194.99154782254652</v>
      </c>
      <c r="EN42" s="62">
        <f t="shared" si="20"/>
        <v>432.83288204288431</v>
      </c>
      <c r="EO42" s="62">
        <f ca="1">AVERAGE(OFFSET($EN$3,0,0,'Données projet'!$E$15+1,1))-AVERAGE(OFFSET($H$3,0,0,'Données projet'!$E$15+1,1))</f>
        <v>291.68530745507815</v>
      </c>
      <c r="EP42" s="62">
        <f t="shared" si="46"/>
        <v>175.95121106728979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54.865818423728477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6</v>
      </c>
      <c r="FE42" s="13">
        <f>IF('Données projet'!$A$218&gt;35,FE41+FD42-FM41,IF(A42&lt;'Données projet'!$A$218,$FB$205^A42,IF(A42='Données projet'!$A$218,'Données projet'!$B$218,FE41+FD42-FM41)))</f>
        <v>132.99999999999991</v>
      </c>
      <c r="FF42" s="18">
        <f>FE42*VLOOKUP('Données projet'!$B$16,Paramètres!$A$1:$I$89,3,0)*VLOOKUP('Données projet'!$B$16,Paramètres!$A$1:$I$89,5,0)</f>
        <v>87.14159999999994</v>
      </c>
      <c r="FG42" s="14">
        <f t="shared" si="47"/>
        <v>23.874558158360944</v>
      </c>
      <c r="FH42" s="22">
        <f t="shared" si="22"/>
        <v>193.35314212581184</v>
      </c>
      <c r="FI42" s="62">
        <f t="shared" si="23"/>
        <v>431.1944763461496</v>
      </c>
      <c r="FJ42" s="62">
        <f ca="1">AVERAGE(OFFSET($FI$3,0,0,'Données projet'!$E$16+1,1))-AVERAGE(OFFSET($H$3,0,0,'Données projet'!$E$16+1,1))</f>
        <v>248.75689726928428</v>
      </c>
      <c r="FK42" s="62">
        <f t="shared" si="48"/>
        <v>232.02291680388336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projet'!$B$16,Paramètres!$A$1:$I$89,3,0)*0.475*44/12</f>
        <v>0</v>
      </c>
      <c r="FR42" s="23">
        <f>EXP(-LN(2)/25)*FR41+(1-EXP(-LN(2)/25))/(LN(2)/25)*Calculateur!FM42*Calculateur!FO42*VLOOKUP('Données projet'!$B$16,Paramètres!$A$1:$I$89,3,0)*0.475*44/12</f>
        <v>0</v>
      </c>
      <c r="FS42" s="23">
        <f>EXP(-LN(2)/2)*FS41+(1-EXP(-LN(2)/2))/(LN(2)/2)*FM42*FP42*VLOOKUP('Données projet'!$B$16,Paramètres!$A$1:$I$89,3,0)*0.475*44/12</f>
        <v>0</v>
      </c>
      <c r="FT42" s="24">
        <f t="shared" si="24"/>
        <v>0</v>
      </c>
      <c r="FU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54.865818423728477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12.818181818181818</v>
      </c>
      <c r="FZ42" s="13">
        <f>IF('Données projet'!$A$244&gt;35,FZ41+FY42-GH41,IF(A42&lt;'Données projet'!$A$244,$FW$205^A42,IF(A42='Données projet'!$A$244,'Données projet'!$B$244,FZ41+FY42-GH41)))</f>
        <v>147.81818181818176</v>
      </c>
      <c r="GA42" s="18">
        <f>FZ42*VLOOKUP('Données projet'!$B$17,Paramètres!$A$1:$I$89,3,0)*VLOOKUP('Données projet'!$B$17,Paramètres!$A$1:$I$89,5,0)</f>
        <v>88.395272727272697</v>
      </c>
      <c r="GB42" s="14">
        <f t="shared" si="49"/>
        <v>24.177799105758492</v>
      </c>
      <c r="GC42" s="22">
        <f t="shared" si="25"/>
        <v>196.06476677586264</v>
      </c>
      <c r="GD42" s="62">
        <f t="shared" si="26"/>
        <v>433.90610099620039</v>
      </c>
      <c r="GE42" s="62">
        <f ca="1">AVERAGE(OFFSET($GD$3,0,0,'Données projet'!$E$17+1,1))-AVERAGE(OFFSET($H$3,0,0,'Données projet'!$E$17+1,1))</f>
        <v>315.909549580511</v>
      </c>
      <c r="GF42" s="62">
        <f t="shared" si="50"/>
        <v>208.56856525402051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projet'!$B$17,Paramètres!$A$1:$I$89,3,0)*0.475*44/12</f>
        <v>0</v>
      </c>
      <c r="GM42" s="23">
        <f>EXP(-LN(2)/25)*GM41+(1-EXP(-LN(2)/25))/(LN(2)/25)*Calculateur!GH42*Calculateur!GJ42*VLOOKUP('Données projet'!$B$17,Paramètres!$A$1:$I$89,3,0)*0.475*44/12</f>
        <v>0</v>
      </c>
      <c r="GN42" s="23">
        <f>EXP(-LN(2)/2)*GN41+(1-EXP(-LN(2)/2))/(LN(2)/2)*GH42*GK42*VLOOKUP('Données projet'!$B$17,Paramètres!$A$1:$I$89,3,0)*0.475*44/12</f>
        <v>0</v>
      </c>
      <c r="GO42" s="23">
        <f t="shared" si="27"/>
        <v>0</v>
      </c>
      <c r="GP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54.865818423728477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5.1282051282051269</v>
      </c>
      <c r="GU42" s="13">
        <f>IF('Données projet'!$A$270&gt;35,GU41+GT42-HC41,IF(A42&lt;'Données projet'!$A$270,$GR$205^A42,IF(A42='Données projet'!$A$270,'Données projet'!$B$270,GU41+GT42-HC41)))</f>
        <v>94.871794871794876</v>
      </c>
      <c r="GV42" s="18">
        <f>GU42*VLOOKUP('Données projet'!$B$18,Paramètres!$A$1:$I$89,3,0)*VLOOKUP('Données projet'!$B$18,Paramètres!$A$1:$I$89,5,0)</f>
        <v>63.64</v>
      </c>
      <c r="GW42" s="14">
        <f t="shared" si="51"/>
        <v>18.085396890199384</v>
      </c>
      <c r="GX42" s="22">
        <f t="shared" si="28"/>
        <v>142.33839958376393</v>
      </c>
      <c r="GY42" s="62">
        <f t="shared" si="29"/>
        <v>380.17973380410172</v>
      </c>
      <c r="GZ42" s="62">
        <f ca="1">AVERAGE(OFFSET($GY$3,0,0,'Données projet'!$E$18+1,1))-AVERAGE(OFFSET($H$3,0,0,'Données projet'!$E$18+1,1))</f>
        <v>254.35742752782755</v>
      </c>
      <c r="HA42" s="62">
        <f t="shared" si="52"/>
        <v>171.79611712137395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>
        <f>EXP(-LN(2)/35)*HG41+(1-EXP(-LN(2)/35))/(LN(2)/35)*HC42*HD42*VLOOKUP('Données projet'!$B$18,Paramètres!$A$1:$I$89,3,0)*0.475*44/12</f>
        <v>0</v>
      </c>
      <c r="HH42" s="23">
        <f>EXP(-LN(2)/25)*HH41+(1-EXP(-LN(2)/25))/(LN(2)/25)*Calculateur!HC42*Calculateur!HE42*VLOOKUP('Données projet'!$B$18,Paramètres!$A$1:$I$89,3,0)*0.475*44/12</f>
        <v>0</v>
      </c>
      <c r="HI42" s="23">
        <f>EXP(-LN(2)/2)*HI41+(1-EXP(-LN(2)/2))/(LN(2)/2)*HC42*HF42*VLOOKUP('Données projet'!$B$18,Paramètres!$A$1:$I$89,3,0)*0.475*44/12</f>
        <v>0</v>
      </c>
      <c r="HJ42" s="24">
        <f t="shared" si="30"/>
        <v>0</v>
      </c>
    </row>
    <row r="43" spans="1:218" s="5" customFormat="1" x14ac:dyDescent="0.3">
      <c r="A43" s="11">
        <f t="shared" si="31"/>
        <v>40</v>
      </c>
      <c r="B43" s="76">
        <f>'Scénario référence'!$B$16*5+'Scénario référence'!$B$17*0+'Scénario référence'!$B$18*5</f>
        <v>3.9405000000000001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14.448500000000001</v>
      </c>
      <c r="H43" s="69">
        <f t="shared" si="1"/>
        <v>161.30656666666667</v>
      </c>
      <c r="I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55.128362639115629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5.9557692307692314</v>
      </c>
      <c r="N43" s="14">
        <f>IF('Données projet'!$A$36&gt;35,N42+M43-V42,IF(A43&lt;'Données projet'!$A$36,$K$205^A43,IF(A43='Données projet'!$A$36,'Données projet'!$B$36,N42+M43-V42)))</f>
        <v>114.79999999999997</v>
      </c>
      <c r="O43" s="14">
        <f>N43*VLOOKUP('Données projet'!$B$9,Paramètres!$A$1:$I$89,3,0)*VLOOKUP('Données projet'!$B$9,Paramètres!$A$1:$I$89,5,0)</f>
        <v>67.157999999999987</v>
      </c>
      <c r="P43" s="14">
        <f t="shared" si="33"/>
        <v>18.965995379979955</v>
      </c>
      <c r="Q43" s="22">
        <f t="shared" si="53"/>
        <v>149.99929195346505</v>
      </c>
      <c r="R43" s="62">
        <f t="shared" si="0"/>
        <v>388.80328829688904</v>
      </c>
      <c r="S43" s="62">
        <f ca="1">AVERAGE(OFFSET($R$3,0,0,'Données projet'!$E$9+1,1))-AVERAGE(OFFSET($H$3,0,0,'Données projet'!$E$9+1,1))</f>
        <v>210.54472399593521</v>
      </c>
      <c r="T43" s="62">
        <f t="shared" si="34"/>
        <v>181.14158435194193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55.128362639115629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173</v>
      </c>
      <c r="AG43" s="13">
        <f>VLOOKUP(A43,'Données projet'!$A$61:$I$81,9,0)</f>
        <v>4</v>
      </c>
      <c r="AH43" s="13">
        <f t="array" ref="AH43">INDEX(AG:AG,MIN(IF(ISNUMBER(AG43:AG239),ROW(AG43:AG239),"")))</f>
        <v>4</v>
      </c>
      <c r="AI43" s="14">
        <f>IF('Données projet'!$A$62&gt;35,AI42+AH43-AQ42,IF(A43&lt;'Données projet'!$A$62,$AF$205^A43,IF(A43='Données projet'!$A$62,'Données projet'!$B$62,AI42+AH43-AQ42)))</f>
        <v>173.00000000000006</v>
      </c>
      <c r="AJ43" s="14">
        <f>AI43*VLOOKUP('Données projet'!$B$10,Paramètres!$A$1:$I$89,3,0)*VLOOKUP('Données projet'!$B$10,Paramètres!$A$1:$I$89,5,0)</f>
        <v>89.960000000000051</v>
      </c>
      <c r="AK43" s="14">
        <f t="shared" si="35"/>
        <v>24.555577707529434</v>
      </c>
      <c r="AL43" s="22">
        <f t="shared" si="4"/>
        <v>199.44796450728052</v>
      </c>
      <c r="AM43" s="62">
        <f t="shared" si="5"/>
        <v>438.25196085070456</v>
      </c>
      <c r="AN43" s="62">
        <f ca="1">AVERAGE(OFFSET($AM$3,0,0,'Données projet'!$E$10+1,1))-AVERAGE(OFFSET($H$3,0,0,'Données projet'!$E$10+1,1))</f>
        <v>289.05608923588198</v>
      </c>
      <c r="AO43" s="62">
        <f t="shared" si="36"/>
        <v>220.06639020312738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55.128362639115629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62.666666666666671</v>
      </c>
      <c r="BB43" s="13">
        <f>VLOOKUP(A43,'Données projet'!$A$87:$I$107,9,0)</f>
        <v>1.9254166666666663</v>
      </c>
      <c r="BC43" s="13">
        <f t="array" ref="BC43">INDEX(BB:BB,MIN(IF(ISNUMBER(BB43:BB239),ROW(BB43:BB239),"")))</f>
        <v>1.9254166666666663</v>
      </c>
      <c r="BD43" s="13">
        <f>IF('Données projet'!$A$88&gt;35,BD42+BC43-BL42,IF(A43&lt;'Données projet'!$A$88,$BA$205^A43,IF(A43='Données projet'!$A$88,'Données projet'!$B$88,BD42+BC43-BL42)))</f>
        <v>62.666666666666671</v>
      </c>
      <c r="BE43" s="14">
        <f>BD43*VLOOKUP('Données projet'!$B$11,Paramètres!$A$1:$I$89,3,0)*VLOOKUP('Données projet'!$B$11,Paramètres!$A$1:$I$89,5,0)</f>
        <v>72.192000000000007</v>
      </c>
      <c r="BF43" s="14">
        <f t="shared" si="37"/>
        <v>20.216827725253115</v>
      </c>
      <c r="BG43" s="22">
        <f t="shared" si="7"/>
        <v>160.94537495481583</v>
      </c>
      <c r="BH43" s="62">
        <f t="shared" si="8"/>
        <v>399.74937129823985</v>
      </c>
      <c r="BI43" s="62">
        <f ca="1">AVERAGE(OFFSET($BH$3,0,0,'Données projet'!$E$11+1,1))-AVERAGE(OFFSET($H$3,0,0,'Données projet'!$E$11+1,1))</f>
        <v>299.54950406029354</v>
      </c>
      <c r="BJ43" s="62">
        <f t="shared" si="38"/>
        <v>208.26364698165739</v>
      </c>
      <c r="BK43" s="16">
        <f>IF(ISNA(VLOOKUP(A43,'Données projet'!$A$87:$I$107,3,0)),0,VLOOKUP(A43,'Données projet'!$A$87:$I$107,3,0))</f>
        <v>2</v>
      </c>
      <c r="BL43" s="16">
        <f>IF(ISNA(VLOOKUP(A43,'Données projet'!$A$87:$I$107,4,0)),0,VLOOKUP(A43,'Données projet'!$A$87:$I$107,4,0))</f>
        <v>7.0000000000000009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55.128362639115629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119.23076923076923</v>
      </c>
      <c r="BW43" s="13">
        <f>VLOOKUP(A43,'Données projet'!$A$113:$I$133,9,0)</f>
        <v>5.1282051282051269</v>
      </c>
      <c r="BX43" s="13">
        <f t="array" ref="BX43">INDEX(BW:BW,MIN(IF(ISNUMBER(BW43:BW239),ROW(BW43:BW239),"")))</f>
        <v>5.1282051282051269</v>
      </c>
      <c r="BY43" s="13">
        <f>IF('Données projet'!$A$114&gt;35,BY42+BX43-CG42,IF(A43&lt;'Données projet'!$A$114,$BV$205^A43,IF(A43='Données projet'!$A$114,'Données projet'!$B$114,BY42+BX43-CG42)))</f>
        <v>119.2307692307692</v>
      </c>
      <c r="BZ43" s="14">
        <f>BY43*VLOOKUP('Données projet'!$B$12,Paramètres!$A$1:$I$89,3,0)*VLOOKUP('Données projet'!$B$12,Paramètres!$A$1:$I$89,5,0)</f>
        <v>128.33999999999997</v>
      </c>
      <c r="CA43" s="14">
        <f t="shared" si="39"/>
        <v>33.612495644528238</v>
      </c>
      <c r="CB43" s="22">
        <f t="shared" si="10"/>
        <v>282.06726324755329</v>
      </c>
      <c r="CC43" s="62">
        <f t="shared" si="11"/>
        <v>520.87125959097727</v>
      </c>
      <c r="CD43" s="62">
        <f ca="1">AVERAGE(OFFSET($CC$3,0,0,'Données projet'!$E$12+1,1))-AVERAGE(OFFSET($H$3,0,0,'Données projet'!$E$12+1,1))</f>
        <v>441.30518831297212</v>
      </c>
      <c r="CE43" s="62">
        <f t="shared" si="40"/>
        <v>270.42872405271851</v>
      </c>
      <c r="CF43" s="16">
        <f>IF(ISNA(VLOOKUP(A43,'Données projet'!$A$113:$I$133,3,0)),0,VLOOKUP(A43,'Données projet'!$A$113:$I$133,3,0))</f>
        <v>2</v>
      </c>
      <c r="CG43" s="16">
        <f>IF(ISNA(VLOOKUP(A43,'Données projet'!$A$113:$I$133,4,0)),0,VLOOKUP(A43,'Données projet'!$A$113:$I$133,4,0))</f>
        <v>17.307692307692307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55.128362639115629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153</v>
      </c>
      <c r="CR43" s="13">
        <f>VLOOKUP(A43,'Données projet'!$A$139:$I$159,9,0)</f>
        <v>7.6</v>
      </c>
      <c r="CS43" s="13">
        <f t="array" ref="CS43">INDEX(CR:CR,MIN(IF(ISNUMBER(CR43:CR239),ROW(CR43:CR239),"")))</f>
        <v>7.6</v>
      </c>
      <c r="CT43" s="13">
        <f>IF('Données projet'!$A$140&gt;35,CT42+CS43-DB42,IF(A43&lt;'Données projet'!$A$140,$CQ$205^A43,IF(A43='Données projet'!$A$140,'Données projet'!$B$140,CT42+CS43-DB42)))</f>
        <v>152.99999999999994</v>
      </c>
      <c r="CU43" s="18">
        <f>CT43*VLOOKUP('Données projet'!$B$13,Paramètres!$A$1:$I$89,3,0)*VLOOKUP('Données projet'!$B$13,Paramètres!$A$1:$I$89,5,0)</f>
        <v>133.66079999999997</v>
      </c>
      <c r="CV43" s="14">
        <f t="shared" si="41"/>
        <v>34.840890682716719</v>
      </c>
      <c r="CW43" s="22">
        <f t="shared" si="13"/>
        <v>293.47377793906486</v>
      </c>
      <c r="CX43" s="62">
        <f t="shared" si="14"/>
        <v>532.27777428248885</v>
      </c>
      <c r="CY43" s="62">
        <f ca="1">AVERAGE(OFFSET($CX$3,0,0,'Données projet'!$E$13+1,1))-AVERAGE(OFFSET($H$3,0,0,'Données projet'!$E$13+1,1))</f>
        <v>310.81258463659196</v>
      </c>
      <c r="CZ43" s="62">
        <f t="shared" si="42"/>
        <v>287.31099756692083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55.128362639115629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119.23076923076923</v>
      </c>
      <c r="DM43" s="13">
        <f>VLOOKUP(A43,'Données projet'!$A$165:$I$185,9,0)</f>
        <v>5.1282051282051269</v>
      </c>
      <c r="DN43" s="13">
        <f t="array" ref="DN43">INDEX(DM:DM,MIN(IF(ISNUMBER(DM43:DM239),ROW(DM43:DM239),"")))</f>
        <v>5.1282051282051269</v>
      </c>
      <c r="DO43" s="13">
        <f>IF('Données projet'!$A$166&gt;35,DO42+DN43-DW42,IF(A43&lt;'Données projet'!$A$166,$DL$205^A43,IF(A43='Données projet'!$A$166,'Données projet'!$B$166,DO42+DN43-DW42)))</f>
        <v>119.2307692307692</v>
      </c>
      <c r="DP43" s="18">
        <f>DO43*VLOOKUP('Données projet'!$B$14,Paramètres!$A$1:$I$89,3,0)*VLOOKUP('Données projet'!$B$14,Paramètres!$A$1:$I$89,5,0)</f>
        <v>124.61999999999999</v>
      </c>
      <c r="DQ43" s="14">
        <f t="shared" si="43"/>
        <v>32.750157887033581</v>
      </c>
      <c r="DR43" s="22">
        <f t="shared" si="16"/>
        <v>274.08635831991677</v>
      </c>
      <c r="DS43" s="62">
        <f t="shared" si="17"/>
        <v>512.89035466334076</v>
      </c>
      <c r="DT43" s="62">
        <f ca="1">AVERAGE(OFFSET($DS$3,0,0,'Données projet'!$E$14+1,1))-AVERAGE(OFFSET($H$3,0,0,'Données projet'!$E$14+1,1))</f>
        <v>431.19274104373625</v>
      </c>
      <c r="DU43" s="62">
        <f t="shared" si="44"/>
        <v>264.67919175178133</v>
      </c>
      <c r="DV43" s="16">
        <f>IF(ISNA(VLOOKUP(A43,'Données projet'!$A$165:$I$185,3,0)),0,VLOOKUP(A43,'Données projet'!$A$165:$I$185,3,0))</f>
        <v>2</v>
      </c>
      <c r="DW43" s="16">
        <f>IF(ISNA(VLOOKUP(A43,'Données projet'!$A$165:$I$185,4,0)),0,VLOOKUP(A43,'Données projet'!$A$165:$I$185,4,0))</f>
        <v>17.307692307692307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55.128362639115629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197.79999999999998</v>
      </c>
      <c r="EH43" s="13">
        <f>VLOOKUP(A43,'Données projet'!$A$191:$I$211,9,0)</f>
        <v>9.981538461538463</v>
      </c>
      <c r="EI43" s="13">
        <f t="array" ref="EI43">INDEX(EH:EH,MIN(IF(ISNUMBER(EH43:EH239),ROW(EH43:EH239),"")))</f>
        <v>9.981538461538463</v>
      </c>
      <c r="EJ43" s="13">
        <f>IF('Données projet'!$A$192&gt;35,EJ42+EI43-ER42,IF(A43&lt;'Données projet'!$A$192,$EG$205^A43,IF(A43='Données projet'!$A$192,'Données projet'!$B$192,EJ42+EI43-ER42)))</f>
        <v>197.79999999999998</v>
      </c>
      <c r="EK43" s="18">
        <f>EJ43*VLOOKUP('Données projet'!$B$15,Paramètres!$A$1:$I$89,3,0)*VLOOKUP('Données projet'!$B$15,Paramètres!$A$1:$I$89,5,0)</f>
        <v>92.570399999999978</v>
      </c>
      <c r="EL43" s="14">
        <f t="shared" si="45"/>
        <v>25.184123943972491</v>
      </c>
      <c r="EM43" s="22">
        <f t="shared" si="19"/>
        <v>205.08912920241869</v>
      </c>
      <c r="EN43" s="62">
        <f t="shared" si="20"/>
        <v>443.89312554584274</v>
      </c>
      <c r="EO43" s="62">
        <f ca="1">AVERAGE(OFFSET($EN$3,0,0,'Données projet'!$E$15+1,1))-AVERAGE(OFFSET($H$3,0,0,'Données projet'!$E$15+1,1))</f>
        <v>291.68530745507815</v>
      </c>
      <c r="EP43" s="62">
        <f t="shared" si="46"/>
        <v>175.95121106728979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55.128362639115629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>
        <f>VLOOKUP(A43,'Données projet'!$A$217:$I$237,2,0)</f>
        <v>139</v>
      </c>
      <c r="FC43" s="13">
        <f>VLOOKUP(A43,'Données projet'!$A$217:$I$237,9,0)</f>
        <v>6</v>
      </c>
      <c r="FD43" s="13">
        <f t="array" ref="FD43">INDEX(FC:FC,MIN(IF(ISNUMBER(FC43:FC239),ROW(FC43:FC239),"")))</f>
        <v>6</v>
      </c>
      <c r="FE43" s="13">
        <f>IF('Données projet'!$A$218&gt;35,FE42+FD43-FM42,IF(A43&lt;'Données projet'!$A$218,$FB$205^A43,IF(A43='Données projet'!$A$218,'Données projet'!$B$218,FE42+FD43-FM42)))</f>
        <v>138.99999999999991</v>
      </c>
      <c r="FF43" s="18">
        <f>FE43*VLOOKUP('Données projet'!$B$16,Paramètres!$A$1:$I$89,3,0)*VLOOKUP('Données projet'!$B$16,Paramètres!$A$1:$I$89,5,0)</f>
        <v>91.072799999999944</v>
      </c>
      <c r="FG43" s="14">
        <f t="shared" si="47"/>
        <v>24.823779817332358</v>
      </c>
      <c r="FH43" s="22">
        <f t="shared" si="22"/>
        <v>201.85320984852044</v>
      </c>
      <c r="FI43" s="62">
        <f t="shared" si="23"/>
        <v>440.65720619194445</v>
      </c>
      <c r="FJ43" s="62">
        <f ca="1">AVERAGE(OFFSET($FI$3,0,0,'Données projet'!$E$16+1,1))-AVERAGE(OFFSET($H$3,0,0,'Données projet'!$E$16+1,1))</f>
        <v>248.75689726928428</v>
      </c>
      <c r="FK43" s="62">
        <f t="shared" si="48"/>
        <v>232.02291680388336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projet'!$B$16,Paramètres!$A$1:$I$89,3,0)*0.475*44/12</f>
        <v>0</v>
      </c>
      <c r="FR43" s="23">
        <f>EXP(-LN(2)/25)*FR42+(1-EXP(-LN(2)/25))/(LN(2)/25)*Calculateur!FM43*Calculateur!FO43*VLOOKUP('Données projet'!$B$16,Paramètres!$A$1:$I$89,3,0)*0.475*44/12</f>
        <v>0</v>
      </c>
      <c r="FS43" s="23">
        <f>EXP(-LN(2)/2)*FS42+(1-EXP(-LN(2)/2))/(LN(2)/2)*FM43*FP43*VLOOKUP('Données projet'!$B$16,Paramètres!$A$1:$I$89,3,0)*0.475*44/12</f>
        <v>0</v>
      </c>
      <c r="FT43" s="24">
        <f t="shared" si="24"/>
        <v>0</v>
      </c>
      <c r="FU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55.128362639115629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12.818181818181818</v>
      </c>
      <c r="FZ43" s="13">
        <f>IF('Données projet'!$A$244&gt;35,FZ42+FY43-GH42,IF(A43&lt;'Données projet'!$A$244,$FW$205^A43,IF(A43='Données projet'!$A$244,'Données projet'!$B$244,FZ42+FY43-GH42)))</f>
        <v>160.63636363636357</v>
      </c>
      <c r="GA43" s="18">
        <f>FZ43*VLOOKUP('Données projet'!$B$17,Paramètres!$A$1:$I$89,3,0)*VLOOKUP('Données projet'!$B$17,Paramètres!$A$1:$I$89,5,0)</f>
        <v>96.060545454545419</v>
      </c>
      <c r="GB43" s="14">
        <f t="shared" si="49"/>
        <v>26.021292801855225</v>
      </c>
      <c r="GC43" s="22">
        <f t="shared" si="25"/>
        <v>212.62586829656445</v>
      </c>
      <c r="GD43" s="62">
        <f t="shared" si="26"/>
        <v>451.42986463998847</v>
      </c>
      <c r="GE43" s="62">
        <f ca="1">AVERAGE(OFFSET($GD$3,0,0,'Données projet'!$E$17+1,1))-AVERAGE(OFFSET($H$3,0,0,'Données projet'!$E$17+1,1))</f>
        <v>315.909549580511</v>
      </c>
      <c r="GF43" s="62">
        <f t="shared" si="50"/>
        <v>208.56856525402051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>
        <f>EXP(-LN(2)/35)*GL42+(1-EXP(-LN(2)/35))/(LN(2)/35)*GH43*GI43*VLOOKUP('Données projet'!$B$17,Paramètres!$A$1:$I$89,3,0)*0.475*44/12</f>
        <v>0</v>
      </c>
      <c r="GM43" s="23">
        <f>EXP(-LN(2)/25)*GM42+(1-EXP(-LN(2)/25))/(LN(2)/25)*Calculateur!GH43*Calculateur!GJ43*VLOOKUP('Données projet'!$B$17,Paramètres!$A$1:$I$89,3,0)*0.475*44/12</f>
        <v>0</v>
      </c>
      <c r="GN43" s="23">
        <f>EXP(-LN(2)/2)*GN42+(1-EXP(-LN(2)/2))/(LN(2)/2)*GH43*GK43*VLOOKUP('Données projet'!$B$17,Paramètres!$A$1:$I$89,3,0)*0.475*44/12</f>
        <v>0</v>
      </c>
      <c r="GO43" s="23">
        <f t="shared" si="27"/>
        <v>0</v>
      </c>
      <c r="GP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55.128362639115629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>
        <f>VLOOKUP(A43,'Données projet'!$A$269:$I$289,2,0)</f>
        <v>100</v>
      </c>
      <c r="GS43" s="13">
        <f>VLOOKUP(A43,'Données projet'!$A$269:$I$289,9,0)</f>
        <v>5.1282051282051269</v>
      </c>
      <c r="GT43" s="13">
        <f t="array" ref="GT43">INDEX(GS:GS,MIN(IF(ISNUMBER(GS43:GS239),ROW(GS43:GS239),"")))</f>
        <v>5.1282051282051269</v>
      </c>
      <c r="GU43" s="13">
        <f>IF('Données projet'!$A$270&gt;35,GU42+GT43-HC42,IF(A43&lt;'Données projet'!$A$270,$GR$205^A43,IF(A43='Données projet'!$A$270,'Données projet'!$B$270,GU42+GT43-HC42)))</f>
        <v>100</v>
      </c>
      <c r="GV43" s="18">
        <f>GU43*VLOOKUP('Données projet'!$B$18,Paramètres!$A$1:$I$89,3,0)*VLOOKUP('Données projet'!$B$18,Paramètres!$A$1:$I$89,5,0)</f>
        <v>67.08</v>
      </c>
      <c r="GW43" s="14">
        <f t="shared" si="51"/>
        <v>18.946530238513894</v>
      </c>
      <c r="GX43" s="22">
        <f t="shared" si="28"/>
        <v>149.82954016541169</v>
      </c>
      <c r="GY43" s="62">
        <f t="shared" si="29"/>
        <v>388.63353650883573</v>
      </c>
      <c r="GZ43" s="62">
        <f ca="1">AVERAGE(OFFSET($GY$3,0,0,'Données projet'!$E$18+1,1))-AVERAGE(OFFSET($H$3,0,0,'Données projet'!$E$18+1,1))</f>
        <v>254.35742752782755</v>
      </c>
      <c r="HA43" s="62">
        <f t="shared" si="52"/>
        <v>171.79611712137395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>
        <f>EXP(-LN(2)/35)*HG42+(1-EXP(-LN(2)/35))/(LN(2)/35)*HC43*HD43*VLOOKUP('Données projet'!$B$18,Paramètres!$A$1:$I$89,3,0)*0.475*44/12</f>
        <v>0</v>
      </c>
      <c r="HH43" s="23">
        <f>EXP(-LN(2)/25)*HH42+(1-EXP(-LN(2)/25))/(LN(2)/25)*Calculateur!HC43*Calculateur!HE43*VLOOKUP('Données projet'!$B$18,Paramètres!$A$1:$I$89,3,0)*0.475*44/12</f>
        <v>0</v>
      </c>
      <c r="HI43" s="23">
        <f>EXP(-LN(2)/2)*HI42+(1-EXP(-LN(2)/2))/(LN(2)/2)*HC43*HF43*VLOOKUP('Données projet'!$B$18,Paramètres!$A$1:$I$89,3,0)*0.475*44/12</f>
        <v>0</v>
      </c>
      <c r="HJ43" s="24">
        <f t="shared" si="30"/>
        <v>0</v>
      </c>
    </row>
    <row r="44" spans="1:218" s="5" customFormat="1" x14ac:dyDescent="0.3">
      <c r="A44" s="11">
        <f t="shared" si="31"/>
        <v>41</v>
      </c>
      <c r="B44" s="76">
        <f>'Scénario référence'!$B$16*5+'Scénario référence'!$B$17*0+'Scénario référence'!$B$18*5</f>
        <v>3.9405000000000001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14.448500000000001</v>
      </c>
      <c r="H44" s="69">
        <f t="shared" si="1"/>
        <v>161.30656666666667</v>
      </c>
      <c r="I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55.386352299326745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5.9557692307692314</v>
      </c>
      <c r="N44" s="14">
        <f>IF('Données projet'!$A$36&gt;35,N43+M44-V43,IF(A44&lt;'Données projet'!$A$36,$K$205^A44,IF(A44='Données projet'!$A$36,'Données projet'!$B$36,N43+M44-V43)))</f>
        <v>120.7557692307692</v>
      </c>
      <c r="O44" s="14">
        <f>N44*VLOOKUP('Données projet'!$B$9,Paramètres!$A$1:$I$89,3,0)*VLOOKUP('Données projet'!$B$9,Paramètres!$A$1:$I$89,5,0)</f>
        <v>70.642124999999979</v>
      </c>
      <c r="P44" s="14">
        <f t="shared" si="33"/>
        <v>19.832834995536956</v>
      </c>
      <c r="Q44" s="22">
        <f t="shared" si="53"/>
        <v>157.57722199222684</v>
      </c>
      <c r="R44" s="62">
        <f t="shared" si="0"/>
        <v>397.32718042309159</v>
      </c>
      <c r="S44" s="62">
        <f ca="1">AVERAGE(OFFSET($R$3,0,0,'Données projet'!$E$9+1,1))-AVERAGE(OFFSET($H$3,0,0,'Données projet'!$E$9+1,1))</f>
        <v>210.54472399593521</v>
      </c>
      <c r="T44" s="62">
        <f t="shared" si="34"/>
        <v>181.14158435194193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55.386352299326745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3.7399999999999975</v>
      </c>
      <c r="AI44" s="14">
        <f>IF('Données projet'!$A$62&gt;35,AI43+AH44-AQ43,IF(A44&lt;'Données projet'!$A$62,$AF$205^A44,IF(A44='Données projet'!$A$62,'Données projet'!$B$62,AI43+AH44-AQ43)))</f>
        <v>176.74000000000007</v>
      </c>
      <c r="AJ44" s="14">
        <f>AI44*VLOOKUP('Données projet'!$B$10,Paramètres!$A$1:$I$89,3,0)*VLOOKUP('Données projet'!$B$10,Paramètres!$A$1:$I$89,5,0)</f>
        <v>91.904800000000037</v>
      </c>
      <c r="AK44" s="14">
        <f t="shared" si="35"/>
        <v>25.024055428460876</v>
      </c>
      <c r="AL44" s="22">
        <f t="shared" si="4"/>
        <v>203.65108987123605</v>
      </c>
      <c r="AM44" s="62">
        <f t="shared" si="5"/>
        <v>443.40104830210078</v>
      </c>
      <c r="AN44" s="62">
        <f ca="1">AVERAGE(OFFSET($AM$3,0,0,'Données projet'!$E$10+1,1))-AVERAGE(OFFSET($H$3,0,0,'Données projet'!$E$10+1,1))</f>
        <v>289.05608923588198</v>
      </c>
      <c r="AO44" s="62">
        <f t="shared" si="36"/>
        <v>220.06639020312738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55.386352299326745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1.8720833333333331</v>
      </c>
      <c r="BD44" s="13">
        <f>IF('Données projet'!$A$88&gt;35,BD43+BC44-BL43,IF(A44&lt;'Données projet'!$A$88,$BA$205^A44,IF(A44='Données projet'!$A$88,'Données projet'!$B$88,BD43+BC44-BL43)))</f>
        <v>57.538750000000007</v>
      </c>
      <c r="BE44" s="14">
        <f>BD44*VLOOKUP('Données projet'!$B$11,Paramètres!$A$1:$I$89,3,0)*VLOOKUP('Données projet'!$B$11,Paramètres!$A$1:$I$89,5,0)</f>
        <v>66.28464000000001</v>
      </c>
      <c r="BF44" s="14">
        <f t="shared" si="37"/>
        <v>18.747894674998243</v>
      </c>
      <c r="BG44" s="22">
        <f t="shared" si="7"/>
        <v>148.09833122562196</v>
      </c>
      <c r="BH44" s="62">
        <f t="shared" si="8"/>
        <v>387.84828965648671</v>
      </c>
      <c r="BI44" s="62">
        <f ca="1">AVERAGE(OFFSET($BH$3,0,0,'Données projet'!$E$11+1,1))-AVERAGE(OFFSET($H$3,0,0,'Données projet'!$E$11+1,1))</f>
        <v>299.54950406029354</v>
      </c>
      <c r="BJ44" s="62">
        <f t="shared" si="38"/>
        <v>208.26364698165739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55.386352299326745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4.8717948717948731</v>
      </c>
      <c r="BY44" s="13">
        <f>IF('Données projet'!$A$114&gt;35,BY43+BX44-CG43,IF(A44&lt;'Données projet'!$A$114,$BV$205^A44,IF(A44='Données projet'!$A$114,'Données projet'!$B$114,BY43+BX44-CG43)))</f>
        <v>106.79487179487177</v>
      </c>
      <c r="BZ44" s="14">
        <f>BY44*VLOOKUP('Données projet'!$B$12,Paramètres!$A$1:$I$89,3,0)*VLOOKUP('Données projet'!$B$12,Paramètres!$A$1:$I$89,5,0)</f>
        <v>114.95399999999997</v>
      </c>
      <c r="CA44" s="14">
        <f t="shared" si="39"/>
        <v>30.495176327676962</v>
      </c>
      <c r="CB44" s="22">
        <f t="shared" si="10"/>
        <v>253.3239821040373</v>
      </c>
      <c r="CC44" s="62">
        <f t="shared" si="11"/>
        <v>493.07394053490202</v>
      </c>
      <c r="CD44" s="62">
        <f ca="1">AVERAGE(OFFSET($CC$3,0,0,'Données projet'!$E$12+1,1))-AVERAGE(OFFSET($H$3,0,0,'Données projet'!$E$12+1,1))</f>
        <v>441.30518831297212</v>
      </c>
      <c r="CE44" s="62">
        <f t="shared" si="40"/>
        <v>270.42872405271851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55.386352299326745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6.6</v>
      </c>
      <c r="CT44" s="13">
        <f>IF('Données projet'!$A$140&gt;35,CT43+CS44-DB43,IF(A44&lt;'Données projet'!$A$140,$CQ$205^A44,IF(A44='Données projet'!$A$140,'Données projet'!$B$140,CT43+CS44-DB43)))</f>
        <v>159.59999999999994</v>
      </c>
      <c r="CU44" s="18">
        <f>CT44*VLOOKUP('Données projet'!$B$13,Paramètres!$A$1:$I$89,3,0)*VLOOKUP('Données projet'!$B$13,Paramètres!$A$1:$I$89,5,0)</f>
        <v>139.42655999999997</v>
      </c>
      <c r="CV44" s="14">
        <f t="shared" si="41"/>
        <v>36.165607079455818</v>
      </c>
      <c r="CW44" s="22">
        <f t="shared" si="13"/>
        <v>305.82302433005208</v>
      </c>
      <c r="CX44" s="62">
        <f t="shared" si="14"/>
        <v>545.57298276091683</v>
      </c>
      <c r="CY44" s="62">
        <f ca="1">AVERAGE(OFFSET($CX$3,0,0,'Données projet'!$E$13+1,1))-AVERAGE(OFFSET($H$3,0,0,'Données projet'!$E$13+1,1))</f>
        <v>310.81258463659196</v>
      </c>
      <c r="CZ44" s="62">
        <f t="shared" si="42"/>
        <v>287.31099756692083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55.386352299326745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4.8717948717948731</v>
      </c>
      <c r="DO44" s="13">
        <f>IF('Données projet'!$A$166&gt;35,DO43+DN44-DW43,IF(A44&lt;'Données projet'!$A$166,$DL$205^A44,IF(A44='Données projet'!$A$166,'Données projet'!$B$166,DO43+DN44-DW43)))</f>
        <v>106.79487179487177</v>
      </c>
      <c r="DP44" s="18">
        <f>DO44*VLOOKUP('Données projet'!$B$14,Paramètres!$A$1:$I$89,3,0)*VLOOKUP('Données projet'!$B$14,Paramètres!$A$1:$I$89,5,0)</f>
        <v>111.62199999999999</v>
      </c>
      <c r="DQ44" s="14">
        <f t="shared" si="43"/>
        <v>29.712814248796512</v>
      </c>
      <c r="DR44" s="22">
        <f t="shared" si="16"/>
        <v>246.15813481665387</v>
      </c>
      <c r="DS44" s="62">
        <f t="shared" si="17"/>
        <v>485.90809324751859</v>
      </c>
      <c r="DT44" s="62">
        <f ca="1">AVERAGE(OFFSET($DS$3,0,0,'Données projet'!$E$14+1,1))-AVERAGE(OFFSET($H$3,0,0,'Données projet'!$E$14+1,1))</f>
        <v>431.19274104373625</v>
      </c>
      <c r="DU44" s="62">
        <f t="shared" si="44"/>
        <v>264.67919175178133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55.386352299326745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10.869230769230773</v>
      </c>
      <c r="EJ44" s="13">
        <f>IF('Données projet'!$A$192&gt;35,EJ43+EI44-ER43,IF(A44&lt;'Données projet'!$A$192,$EG$205^A44,IF(A44='Données projet'!$A$192,'Données projet'!$B$192,EJ43+EI44-ER43)))</f>
        <v>208.66923076923075</v>
      </c>
      <c r="EK44" s="18">
        <f>EJ44*VLOOKUP('Données projet'!$B$15,Paramètres!$A$1:$I$89,3,0)*VLOOKUP('Données projet'!$B$15,Paramètres!$A$1:$I$89,5,0)</f>
        <v>97.657199999999989</v>
      </c>
      <c r="EL44" s="14">
        <f t="shared" si="45"/>
        <v>26.403090007431878</v>
      </c>
      <c r="EM44" s="22">
        <f t="shared" si="19"/>
        <v>216.07167176294379</v>
      </c>
      <c r="EN44" s="62">
        <f t="shared" si="20"/>
        <v>455.82163019380852</v>
      </c>
      <c r="EO44" s="62">
        <f ca="1">AVERAGE(OFFSET($EN$3,0,0,'Données projet'!$E$15+1,1))-AVERAGE(OFFSET($H$3,0,0,'Données projet'!$E$15+1,1))</f>
        <v>291.68530745507815</v>
      </c>
      <c r="EP44" s="62">
        <f t="shared" si="46"/>
        <v>175.95121106728979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55.386352299326745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5.6</v>
      </c>
      <c r="FE44" s="13">
        <f>IF('Données projet'!$A$218&gt;35,FE43+FD44-FM43,IF(A44&lt;'Données projet'!$A$218,$FB$205^A44,IF(A44='Données projet'!$A$218,'Données projet'!$B$218,FE43+FD44-FM43)))</f>
        <v>144.59999999999991</v>
      </c>
      <c r="FF44" s="18">
        <f>FE44*VLOOKUP('Données projet'!$B$16,Paramètres!$A$1:$I$89,3,0)*VLOOKUP('Données projet'!$B$16,Paramètres!$A$1:$I$89,5,0)</f>
        <v>94.741919999999936</v>
      </c>
      <c r="FG44" s="14">
        <f t="shared" si="47"/>
        <v>25.7054219203964</v>
      </c>
      <c r="FH44" s="22">
        <f t="shared" si="22"/>
        <v>209.77912051135695</v>
      </c>
      <c r="FI44" s="62">
        <f t="shared" si="23"/>
        <v>449.52907894222164</v>
      </c>
      <c r="FJ44" s="62">
        <f ca="1">AVERAGE(OFFSET($FI$3,0,0,'Données projet'!$E$16+1,1))-AVERAGE(OFFSET($H$3,0,0,'Données projet'!$E$16+1,1))</f>
        <v>248.75689726928428</v>
      </c>
      <c r="FK44" s="62">
        <f t="shared" si="48"/>
        <v>232.02291680388336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projet'!$B$16,Paramètres!$A$1:$I$89,3,0)*0.475*44/12</f>
        <v>0</v>
      </c>
      <c r="FR44" s="23">
        <f>EXP(-LN(2)/25)*FR43+(1-EXP(-LN(2)/25))/(LN(2)/25)*Calculateur!FM44*Calculateur!FO44*VLOOKUP('Données projet'!$B$16,Paramètres!$A$1:$I$89,3,0)*0.475*44/12</f>
        <v>0</v>
      </c>
      <c r="FS44" s="23">
        <f>EXP(-LN(2)/2)*FS43+(1-EXP(-LN(2)/2))/(LN(2)/2)*FM44*FP44*VLOOKUP('Données projet'!$B$16,Paramètres!$A$1:$I$89,3,0)*0.475*44/12</f>
        <v>0</v>
      </c>
      <c r="FT44" s="24">
        <f t="shared" si="24"/>
        <v>0</v>
      </c>
      <c r="FU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55.386352299326745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12.818181818181818</v>
      </c>
      <c r="FZ44" s="13">
        <f>IF('Données projet'!$A$244&gt;35,FZ43+FY44-GH43,IF(A44&lt;'Données projet'!$A$244,$FW$205^A44,IF(A44='Données projet'!$A$244,'Données projet'!$B$244,FZ43+FY44-GH43)))</f>
        <v>173.45454545454538</v>
      </c>
      <c r="GA44" s="18">
        <f>FZ44*VLOOKUP('Données projet'!$B$17,Paramètres!$A$1:$I$89,3,0)*VLOOKUP('Données projet'!$B$17,Paramètres!$A$1:$I$89,5,0)</f>
        <v>103.72581818181814</v>
      </c>
      <c r="GB44" s="14">
        <f t="shared" si="49"/>
        <v>27.847723776023592</v>
      </c>
      <c r="GC44" s="22">
        <f t="shared" si="25"/>
        <v>229.157252243241</v>
      </c>
      <c r="GD44" s="62">
        <f t="shared" si="26"/>
        <v>468.90721067410573</v>
      </c>
      <c r="GE44" s="62">
        <f ca="1">AVERAGE(OFFSET($GD$3,0,0,'Données projet'!$E$17+1,1))-AVERAGE(OFFSET($H$3,0,0,'Données projet'!$E$17+1,1))</f>
        <v>315.909549580511</v>
      </c>
      <c r="GF44" s="62">
        <f t="shared" si="50"/>
        <v>208.56856525402051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projet'!$B$17,Paramètres!$A$1:$I$89,3,0)*0.475*44/12</f>
        <v>0</v>
      </c>
      <c r="GM44" s="23">
        <f>EXP(-LN(2)/25)*GM43+(1-EXP(-LN(2)/25))/(LN(2)/25)*Calculateur!GH44*Calculateur!GJ44*VLOOKUP('Données projet'!$B$17,Paramètres!$A$1:$I$89,3,0)*0.475*44/12</f>
        <v>0</v>
      </c>
      <c r="GN44" s="23">
        <f>EXP(-LN(2)/2)*GN43+(1-EXP(-LN(2)/2))/(LN(2)/2)*GH44*GK44*VLOOKUP('Données projet'!$B$17,Paramètres!$A$1:$I$89,3,0)*0.475*44/12</f>
        <v>0</v>
      </c>
      <c r="GO44" s="23">
        <f t="shared" si="27"/>
        <v>0</v>
      </c>
      <c r="GP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55.386352299326745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4.8717948717948705</v>
      </c>
      <c r="GU44" s="13">
        <f>IF('Données projet'!$A$270&gt;35,GU43+GT44-HC43,IF(A44&lt;'Données projet'!$A$270,$GR$205^A44,IF(A44='Données projet'!$A$270,'Données projet'!$B$270,GU43+GT44-HC43)))</f>
        <v>104.87179487179488</v>
      </c>
      <c r="GV44" s="18">
        <f>GU44*VLOOKUP('Données projet'!$B$18,Paramètres!$A$1:$I$89,3,0)*VLOOKUP('Données projet'!$B$18,Paramètres!$A$1:$I$89,5,0)</f>
        <v>70.347999999999999</v>
      </c>
      <c r="GW44" s="14">
        <f t="shared" si="51"/>
        <v>19.75985327787048</v>
      </c>
      <c r="GX44" s="22">
        <f t="shared" si="28"/>
        <v>156.93784445895773</v>
      </c>
      <c r="GY44" s="62">
        <f t="shared" si="29"/>
        <v>396.68780288982248</v>
      </c>
      <c r="GZ44" s="62">
        <f ca="1">AVERAGE(OFFSET($GY$3,0,0,'Données projet'!$E$18+1,1))-AVERAGE(OFFSET($H$3,0,0,'Données projet'!$E$18+1,1))</f>
        <v>254.35742752782755</v>
      </c>
      <c r="HA44" s="62">
        <f t="shared" si="52"/>
        <v>171.79611712137395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>
        <f>EXP(-LN(2)/35)*HG43+(1-EXP(-LN(2)/35))/(LN(2)/35)*HC44*HD44*VLOOKUP('Données projet'!$B$18,Paramètres!$A$1:$I$89,3,0)*0.475*44/12</f>
        <v>0</v>
      </c>
      <c r="HH44" s="23">
        <f>EXP(-LN(2)/25)*HH43+(1-EXP(-LN(2)/25))/(LN(2)/25)*Calculateur!HC44*Calculateur!HE44*VLOOKUP('Données projet'!$B$18,Paramètres!$A$1:$I$89,3,0)*0.475*44/12</f>
        <v>0</v>
      </c>
      <c r="HI44" s="23">
        <f>EXP(-LN(2)/2)*HI43+(1-EXP(-LN(2)/2))/(LN(2)/2)*HC44*HF44*VLOOKUP('Données projet'!$B$18,Paramètres!$A$1:$I$89,3,0)*0.475*44/12</f>
        <v>0</v>
      </c>
      <c r="HJ44" s="24">
        <f t="shared" si="30"/>
        <v>0</v>
      </c>
    </row>
    <row r="45" spans="1:218" s="5" customFormat="1" x14ac:dyDescent="0.3">
      <c r="A45" s="11">
        <f t="shared" si="31"/>
        <v>42</v>
      </c>
      <c r="B45" s="76">
        <f>'Scénario référence'!$B$16*5+'Scénario référence'!$B$17*0+'Scénario référence'!$B$18*5</f>
        <v>3.9405000000000001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14.448500000000001</v>
      </c>
      <c r="H45" s="69">
        <f t="shared" si="1"/>
        <v>161.30656666666667</v>
      </c>
      <c r="I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55.639866415711666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5.9557692307692314</v>
      </c>
      <c r="N45" s="14">
        <f>IF('Données projet'!$A$36&gt;35,N44+M45-V44,IF(A45&lt;'Données projet'!$A$36,$K$205^A45,IF(A45='Données projet'!$A$36,'Données projet'!$B$36,N44+M45-V44)))</f>
        <v>126.71153846153844</v>
      </c>
      <c r="O45" s="14">
        <f>N45*VLOOKUP('Données projet'!$B$9,Paramètres!$A$1:$I$89,3,0)*VLOOKUP('Données projet'!$B$9,Paramètres!$A$1:$I$89,5,0)</f>
        <v>74.126249999999985</v>
      </c>
      <c r="P45" s="14">
        <f t="shared" si="33"/>
        <v>20.694710270075731</v>
      </c>
      <c r="Q45" s="22">
        <f t="shared" si="53"/>
        <v>165.1465058037152</v>
      </c>
      <c r="R45" s="62">
        <f t="shared" si="0"/>
        <v>405.82601599465795</v>
      </c>
      <c r="S45" s="62">
        <f ca="1">AVERAGE(OFFSET($R$3,0,0,'Données projet'!$E$9+1,1))-AVERAGE(OFFSET($H$3,0,0,'Données projet'!$E$9+1,1))</f>
        <v>210.54472399593521</v>
      </c>
      <c r="T45" s="62">
        <f t="shared" si="34"/>
        <v>181.14158435194193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55.639866415711666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3.7399999999999975</v>
      </c>
      <c r="AI45" s="14">
        <f>IF('Données projet'!$A$62&gt;35,AI44+AH45-AQ44,IF(A45&lt;'Données projet'!$A$62,$AF$205^A45,IF(A45='Données projet'!$A$62,'Données projet'!$B$62,AI44+AH45-AQ44)))</f>
        <v>180.48000000000008</v>
      </c>
      <c r="AJ45" s="14">
        <f>AI45*VLOOKUP('Données projet'!$B$10,Paramètres!$A$1:$I$89,3,0)*VLOOKUP('Données projet'!$B$10,Paramètres!$A$1:$I$89,5,0)</f>
        <v>93.849600000000052</v>
      </c>
      <c r="AK45" s="14">
        <f t="shared" si="35"/>
        <v>25.491380550546491</v>
      </c>
      <c r="AL45" s="22">
        <f t="shared" si="4"/>
        <v>207.85220779220188</v>
      </c>
      <c r="AM45" s="62">
        <f t="shared" si="5"/>
        <v>448.53171798314463</v>
      </c>
      <c r="AN45" s="62">
        <f ca="1">AVERAGE(OFFSET($AM$3,0,0,'Données projet'!$E$10+1,1))-AVERAGE(OFFSET($H$3,0,0,'Données projet'!$E$10+1,1))</f>
        <v>289.05608923588198</v>
      </c>
      <c r="AO45" s="62">
        <f t="shared" si="36"/>
        <v>220.06639020312738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55.639866415711666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1.8720833333333331</v>
      </c>
      <c r="BD45" s="13">
        <f>IF('Données projet'!$A$88&gt;35,BD44+BC45-BL44,IF(A45&lt;'Données projet'!$A$88,$BA$205^A45,IF(A45='Données projet'!$A$88,'Données projet'!$B$88,BD44+BC45-BL44)))</f>
        <v>59.410833333333343</v>
      </c>
      <c r="BE45" s="14">
        <f>BD45*VLOOKUP('Données projet'!$B$11,Paramètres!$A$1:$I$89,3,0)*VLOOKUP('Données projet'!$B$11,Paramètres!$A$1:$I$89,5,0)</f>
        <v>68.441280000000006</v>
      </c>
      <c r="BF45" s="14">
        <f t="shared" si="37"/>
        <v>19.285866604126806</v>
      </c>
      <c r="BG45" s="22">
        <f t="shared" si="7"/>
        <v>152.79144700218751</v>
      </c>
      <c r="BH45" s="62">
        <f t="shared" si="8"/>
        <v>393.47095719313029</v>
      </c>
      <c r="BI45" s="62">
        <f ca="1">AVERAGE(OFFSET($BH$3,0,0,'Données projet'!$E$11+1,1))-AVERAGE(OFFSET($H$3,0,0,'Données projet'!$E$11+1,1))</f>
        <v>299.54950406029354</v>
      </c>
      <c r="BJ45" s="62">
        <f t="shared" si="38"/>
        <v>208.26364698165739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55.639866415711666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4.8717948717948731</v>
      </c>
      <c r="BY45" s="13">
        <f>IF('Données projet'!$A$114&gt;35,BY44+BX45-CG44,IF(A45&lt;'Données projet'!$A$114,$BV$205^A45,IF(A45='Données projet'!$A$114,'Données projet'!$B$114,BY44+BX45-CG44)))</f>
        <v>111.66666666666664</v>
      </c>
      <c r="BZ45" s="14">
        <f>BY45*VLOOKUP('Données projet'!$B$12,Paramètres!$A$1:$I$89,3,0)*VLOOKUP('Données projet'!$B$12,Paramètres!$A$1:$I$89,5,0)</f>
        <v>120.19799999999998</v>
      </c>
      <c r="CA45" s="14">
        <f t="shared" si="39"/>
        <v>31.721175110625282</v>
      </c>
      <c r="CB45" s="22">
        <f t="shared" si="10"/>
        <v>264.59256331767233</v>
      </c>
      <c r="CC45" s="62">
        <f t="shared" si="11"/>
        <v>505.27207350861511</v>
      </c>
      <c r="CD45" s="62">
        <f ca="1">AVERAGE(OFFSET($CC$3,0,0,'Données projet'!$E$12+1,1))-AVERAGE(OFFSET($H$3,0,0,'Données projet'!$E$12+1,1))</f>
        <v>441.30518831297212</v>
      </c>
      <c r="CE45" s="62">
        <f t="shared" si="40"/>
        <v>270.42872405271851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55.639866415711666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6.6</v>
      </c>
      <c r="CT45" s="13">
        <f>IF('Données projet'!$A$140&gt;35,CT44+CS45-DB44,IF(A45&lt;'Données projet'!$A$140,$CQ$205^A45,IF(A45='Données projet'!$A$140,'Données projet'!$B$140,CT44+CS45-DB44)))</f>
        <v>166.19999999999993</v>
      </c>
      <c r="CU45" s="18">
        <f>CT45*VLOOKUP('Données projet'!$B$13,Paramètres!$A$1:$I$89,3,0)*VLOOKUP('Données projet'!$B$13,Paramètres!$A$1:$I$89,5,0)</f>
        <v>145.19231999999997</v>
      </c>
      <c r="CV45" s="14">
        <f t="shared" si="41"/>
        <v>37.48396031597408</v>
      </c>
      <c r="CW45" s="22">
        <f t="shared" si="13"/>
        <v>318.16118821698814</v>
      </c>
      <c r="CX45" s="62">
        <f t="shared" si="14"/>
        <v>558.84069840793086</v>
      </c>
      <c r="CY45" s="62">
        <f ca="1">AVERAGE(OFFSET($CX$3,0,0,'Données projet'!$E$13+1,1))-AVERAGE(OFFSET($H$3,0,0,'Données projet'!$E$13+1,1))</f>
        <v>310.81258463659196</v>
      </c>
      <c r="CZ45" s="62">
        <f t="shared" si="42"/>
        <v>287.31099756692083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55.639866415711666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4.8717948717948731</v>
      </c>
      <c r="DO45" s="13">
        <f>IF('Données projet'!$A$166&gt;35,DO44+DN45-DW44,IF(A45&lt;'Données projet'!$A$166,$DL$205^A45,IF(A45='Données projet'!$A$166,'Données projet'!$B$166,DO44+DN45-DW44)))</f>
        <v>111.66666666666664</v>
      </c>
      <c r="DP45" s="18">
        <f>DO45*VLOOKUP('Données projet'!$B$14,Paramètres!$A$1:$I$89,3,0)*VLOOKUP('Données projet'!$B$14,Paramètres!$A$1:$I$89,5,0)</f>
        <v>116.71399999999997</v>
      </c>
      <c r="DQ45" s="14">
        <f t="shared" si="43"/>
        <v>30.907359698069175</v>
      </c>
      <c r="DR45" s="22">
        <f t="shared" si="16"/>
        <v>257.10720147413707</v>
      </c>
      <c r="DS45" s="62">
        <f t="shared" si="17"/>
        <v>497.78671166507985</v>
      </c>
      <c r="DT45" s="62">
        <f ca="1">AVERAGE(OFFSET($DS$3,0,0,'Données projet'!$E$14+1,1))-AVERAGE(OFFSET($H$3,0,0,'Données projet'!$E$14+1,1))</f>
        <v>431.19274104373625</v>
      </c>
      <c r="DU45" s="62">
        <f t="shared" si="44"/>
        <v>264.67919175178133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55.639866415711666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10.869230769230773</v>
      </c>
      <c r="EJ45" s="13">
        <f>IF('Données projet'!$A$192&gt;35,EJ44+EI45-ER44,IF(A45&lt;'Données projet'!$A$192,$EG$205^A45,IF(A45='Données projet'!$A$192,'Données projet'!$B$192,EJ44+EI45-ER44)))</f>
        <v>219.53846153846152</v>
      </c>
      <c r="EK45" s="18">
        <f>EJ45*VLOOKUP('Données projet'!$B$15,Paramètres!$A$1:$I$89,3,0)*VLOOKUP('Données projet'!$B$15,Paramètres!$A$1:$I$89,5,0)</f>
        <v>102.74399999999999</v>
      </c>
      <c r="EL45" s="14">
        <f t="shared" si="45"/>
        <v>27.614684221611544</v>
      </c>
      <c r="EM45" s="22">
        <f t="shared" si="19"/>
        <v>227.04137501930674</v>
      </c>
      <c r="EN45" s="62">
        <f t="shared" si="20"/>
        <v>467.72088521024955</v>
      </c>
      <c r="EO45" s="62">
        <f ca="1">AVERAGE(OFFSET($EN$3,0,0,'Données projet'!$E$15+1,1))-AVERAGE(OFFSET($H$3,0,0,'Données projet'!$E$15+1,1))</f>
        <v>291.68530745507815</v>
      </c>
      <c r="EP45" s="62">
        <f t="shared" si="46"/>
        <v>175.95121106728979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55.639866415711666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5.6</v>
      </c>
      <c r="FE45" s="13">
        <f>IF('Données projet'!$A$218&gt;35,FE44+FD45-FM44,IF(A45&lt;'Données projet'!$A$218,$FB$205^A45,IF(A45='Données projet'!$A$218,'Données projet'!$B$218,FE44+FD45-FM44)))</f>
        <v>150.1999999999999</v>
      </c>
      <c r="FF45" s="18">
        <f>FE45*VLOOKUP('Données projet'!$B$16,Paramètres!$A$1:$I$89,3,0)*VLOOKUP('Données projet'!$B$16,Paramètres!$A$1:$I$89,5,0)</f>
        <v>98.411039999999943</v>
      </c>
      <c r="FG45" s="14">
        <f t="shared" si="47"/>
        <v>26.583097580562715</v>
      </c>
      <c r="FH45" s="22">
        <f t="shared" si="22"/>
        <v>217.69812295281329</v>
      </c>
      <c r="FI45" s="62">
        <f t="shared" si="23"/>
        <v>458.37763314375604</v>
      </c>
      <c r="FJ45" s="62">
        <f ca="1">AVERAGE(OFFSET($FI$3,0,0,'Données projet'!$E$16+1,1))-AVERAGE(OFFSET($H$3,0,0,'Données projet'!$E$16+1,1))</f>
        <v>248.75689726928428</v>
      </c>
      <c r="FK45" s="62">
        <f t="shared" si="48"/>
        <v>232.02291680388336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projet'!$B$16,Paramètres!$A$1:$I$89,3,0)*0.475*44/12</f>
        <v>0</v>
      </c>
      <c r="FR45" s="23">
        <f>EXP(-LN(2)/25)*FR44+(1-EXP(-LN(2)/25))/(LN(2)/25)*Calculateur!FM45*Calculateur!FO45*VLOOKUP('Données projet'!$B$16,Paramètres!$A$1:$I$89,3,0)*0.475*44/12</f>
        <v>0</v>
      </c>
      <c r="FS45" s="23">
        <f>EXP(-LN(2)/2)*FS44+(1-EXP(-LN(2)/2))/(LN(2)/2)*FM45*FP45*VLOOKUP('Données projet'!$B$16,Paramètres!$A$1:$I$89,3,0)*0.475*44/12</f>
        <v>0</v>
      </c>
      <c r="FT45" s="24">
        <f t="shared" si="24"/>
        <v>0</v>
      </c>
      <c r="FU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55.639866415711666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12.818181818181818</v>
      </c>
      <c r="FZ45" s="13">
        <f>IF('Données projet'!$A$244&gt;35,FZ44+FY45-GH44,IF(A45&lt;'Données projet'!$A$244,$FW$205^A45,IF(A45='Données projet'!$A$244,'Données projet'!$B$244,FZ44+FY45-GH44)))</f>
        <v>186.2727272727272</v>
      </c>
      <c r="GA45" s="18">
        <f>FZ45*VLOOKUP('Données projet'!$B$17,Paramètres!$A$1:$I$89,3,0)*VLOOKUP('Données projet'!$B$17,Paramètres!$A$1:$I$89,5,0)</f>
        <v>111.39109090909088</v>
      </c>
      <c r="GB45" s="14">
        <f t="shared" si="49"/>
        <v>29.658496338747419</v>
      </c>
      <c r="GC45" s="22">
        <f t="shared" si="25"/>
        <v>245.66136445665168</v>
      </c>
      <c r="GD45" s="62">
        <f t="shared" si="26"/>
        <v>486.34087464759443</v>
      </c>
      <c r="GE45" s="62">
        <f ca="1">AVERAGE(OFFSET($GD$3,0,0,'Données projet'!$E$17+1,1))-AVERAGE(OFFSET($H$3,0,0,'Données projet'!$E$17+1,1))</f>
        <v>315.909549580511</v>
      </c>
      <c r="GF45" s="62">
        <f t="shared" si="50"/>
        <v>208.56856525402051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projet'!$B$17,Paramètres!$A$1:$I$89,3,0)*0.475*44/12</f>
        <v>0</v>
      </c>
      <c r="GM45" s="23">
        <f>EXP(-LN(2)/25)*GM44+(1-EXP(-LN(2)/25))/(LN(2)/25)*Calculateur!GH45*Calculateur!GJ45*VLOOKUP('Données projet'!$B$17,Paramètres!$A$1:$I$89,3,0)*0.475*44/12</f>
        <v>0</v>
      </c>
      <c r="GN45" s="23">
        <f>EXP(-LN(2)/2)*GN44+(1-EXP(-LN(2)/2))/(LN(2)/2)*GH45*GK45*VLOOKUP('Données projet'!$B$17,Paramètres!$A$1:$I$89,3,0)*0.475*44/12</f>
        <v>0</v>
      </c>
      <c r="GO45" s="23">
        <f t="shared" si="27"/>
        <v>0</v>
      </c>
      <c r="GP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55.639866415711666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4.8717948717948705</v>
      </c>
      <c r="GU45" s="13">
        <f>IF('Données projet'!$A$270&gt;35,GU44+GT45-HC44,IF(A45&lt;'Données projet'!$A$270,$GR$205^A45,IF(A45='Données projet'!$A$270,'Données projet'!$B$270,GU44+GT45-HC44)))</f>
        <v>109.74358974358975</v>
      </c>
      <c r="GV45" s="18">
        <f>GU45*VLOOKUP('Données projet'!$B$18,Paramètres!$A$1:$I$89,3,0)*VLOOKUP('Données projet'!$B$18,Paramètres!$A$1:$I$89,5,0)</f>
        <v>73.616000000000014</v>
      </c>
      <c r="GW45" s="14">
        <f t="shared" si="51"/>
        <v>20.568788609849012</v>
      </c>
      <c r="GX45" s="22">
        <f t="shared" si="28"/>
        <v>164.03850682882037</v>
      </c>
      <c r="GY45" s="62">
        <f t="shared" si="29"/>
        <v>404.71801701976312</v>
      </c>
      <c r="GZ45" s="62">
        <f ca="1">AVERAGE(OFFSET($GY$3,0,0,'Données projet'!$E$18+1,1))-AVERAGE(OFFSET($H$3,0,0,'Données projet'!$E$18+1,1))</f>
        <v>254.35742752782755</v>
      </c>
      <c r="HA45" s="62">
        <f t="shared" si="52"/>
        <v>171.79611712137395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>
        <f>EXP(-LN(2)/35)*HG44+(1-EXP(-LN(2)/35))/(LN(2)/35)*HC45*HD45*VLOOKUP('Données projet'!$B$18,Paramètres!$A$1:$I$89,3,0)*0.475*44/12</f>
        <v>0</v>
      </c>
      <c r="HH45" s="23">
        <f>EXP(-LN(2)/25)*HH44+(1-EXP(-LN(2)/25))/(LN(2)/25)*Calculateur!HC45*Calculateur!HE45*VLOOKUP('Données projet'!$B$18,Paramètres!$A$1:$I$89,3,0)*0.475*44/12</f>
        <v>0</v>
      </c>
      <c r="HI45" s="23">
        <f>EXP(-LN(2)/2)*HI44+(1-EXP(-LN(2)/2))/(LN(2)/2)*HC45*HF45*VLOOKUP('Données projet'!$B$18,Paramètres!$A$1:$I$89,3,0)*0.475*44/12</f>
        <v>0</v>
      </c>
      <c r="HJ45" s="24">
        <f t="shared" si="30"/>
        <v>0</v>
      </c>
    </row>
    <row r="46" spans="1:218" s="5" customFormat="1" x14ac:dyDescent="0.3">
      <c r="A46" s="11">
        <f t="shared" si="31"/>
        <v>43</v>
      </c>
      <c r="B46" s="76">
        <f>'Scénario référence'!$B$16*5+'Scénario référence'!$B$17*0+'Scénario référence'!$B$18*5</f>
        <v>3.9405000000000001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14.448500000000001</v>
      </c>
      <c r="H46" s="69">
        <f t="shared" si="1"/>
        <v>161.30656666666667</v>
      </c>
      <c r="I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55.888982628949968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5.9557692307692314</v>
      </c>
      <c r="N46" s="14">
        <f>IF('Données projet'!$A$36&gt;35,N45+M46-V45,IF(A46&lt;'Données projet'!$A$36,$K$205^A46,IF(A46='Données projet'!$A$36,'Données projet'!$B$36,N45+M46-V45)))</f>
        <v>132.66730769230767</v>
      </c>
      <c r="O46" s="14">
        <f>N46*VLOOKUP('Données projet'!$B$9,Paramètres!$A$1:$I$89,3,0)*VLOOKUP('Données projet'!$B$9,Paramètres!$A$1:$I$89,5,0)</f>
        <v>77.610374999999991</v>
      </c>
      <c r="P46" s="14">
        <f t="shared" si="33"/>
        <v>21.551881185301518</v>
      </c>
      <c r="Q46" s="22">
        <f t="shared" si="53"/>
        <v>172.70759618940016</v>
      </c>
      <c r="R46" s="62">
        <f t="shared" si="0"/>
        <v>414.3005324955501</v>
      </c>
      <c r="S46" s="62">
        <f ca="1">AVERAGE(OFFSET($R$3,0,0,'Données projet'!$E$9+1,1))-AVERAGE(OFFSET($H$3,0,0,'Données projet'!$E$9+1,1))</f>
        <v>210.54472399593521</v>
      </c>
      <c r="T46" s="62">
        <f t="shared" si="34"/>
        <v>181.14158435194193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55.888982628949968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3.7399999999999975</v>
      </c>
      <c r="AI46" s="14">
        <f>IF('Données projet'!$A$62&gt;35,AI45+AH46-AQ45,IF(A46&lt;'Données projet'!$A$62,$AF$205^A46,IF(A46='Données projet'!$A$62,'Données projet'!$B$62,AI45+AH46-AQ45)))</f>
        <v>184.22000000000008</v>
      </c>
      <c r="AJ46" s="14">
        <f>AI46*VLOOKUP('Données projet'!$B$10,Paramètres!$A$1:$I$89,3,0)*VLOOKUP('Données projet'!$B$10,Paramètres!$A$1:$I$89,5,0)</f>
        <v>95.794400000000039</v>
      </c>
      <c r="AK46" s="14">
        <f t="shared" si="35"/>
        <v>25.957579710436637</v>
      </c>
      <c r="AL46" s="22">
        <f t="shared" si="4"/>
        <v>212.05136466234387</v>
      </c>
      <c r="AM46" s="62">
        <f t="shared" si="5"/>
        <v>453.64430096849378</v>
      </c>
      <c r="AN46" s="62">
        <f ca="1">AVERAGE(OFFSET($AM$3,0,0,'Données projet'!$E$10+1,1))-AVERAGE(OFFSET($H$3,0,0,'Données projet'!$E$10+1,1))</f>
        <v>289.05608923588198</v>
      </c>
      <c r="AO46" s="62">
        <f t="shared" si="36"/>
        <v>220.06639020312738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55.888982628949968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1.8720833333333331</v>
      </c>
      <c r="BD46" s="13">
        <f>IF('Données projet'!$A$88&gt;35,BD45+BC46-BL45,IF(A46&lt;'Données projet'!$A$88,$BA$205^A46,IF(A46='Données projet'!$A$88,'Données projet'!$B$88,BD45+BC46-BL45)))</f>
        <v>61.282916666666679</v>
      </c>
      <c r="BE46" s="14">
        <f>BD46*VLOOKUP('Données projet'!$B$11,Paramètres!$A$1:$I$89,3,0)*VLOOKUP('Données projet'!$B$11,Paramètres!$A$1:$I$89,5,0)</f>
        <v>70.597920000000002</v>
      </c>
      <c r="BF46" s="14">
        <f t="shared" si="37"/>
        <v>19.821868598485771</v>
      </c>
      <c r="BG46" s="22">
        <f t="shared" si="7"/>
        <v>157.48113180902939</v>
      </c>
      <c r="BH46" s="62">
        <f t="shared" si="8"/>
        <v>399.07406811517933</v>
      </c>
      <c r="BI46" s="62">
        <f ca="1">AVERAGE(OFFSET($BH$3,0,0,'Données projet'!$E$11+1,1))-AVERAGE(OFFSET($H$3,0,0,'Données projet'!$E$11+1,1))</f>
        <v>299.54950406029354</v>
      </c>
      <c r="BJ46" s="62">
        <f t="shared" si="38"/>
        <v>208.26364698165739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55.888982628949968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4.8717948717948731</v>
      </c>
      <c r="BY46" s="13">
        <f>IF('Données projet'!$A$114&gt;35,BY45+BX46-CG45,IF(A46&lt;'Données projet'!$A$114,$BV$205^A46,IF(A46='Données projet'!$A$114,'Données projet'!$B$114,BY45+BX46-CG45)))</f>
        <v>116.53846153846152</v>
      </c>
      <c r="BZ46" s="14">
        <f>BY46*VLOOKUP('Données projet'!$B$12,Paramètres!$A$1:$I$89,3,0)*VLOOKUP('Données projet'!$B$12,Paramètres!$A$1:$I$89,5,0)</f>
        <v>125.44199999999998</v>
      </c>
      <c r="CA46" s="14">
        <f t="shared" si="39"/>
        <v>32.940961603852372</v>
      </c>
      <c r="CB46" s="22">
        <f t="shared" si="10"/>
        <v>275.85032479337616</v>
      </c>
      <c r="CC46" s="62">
        <f t="shared" si="11"/>
        <v>517.44326109952613</v>
      </c>
      <c r="CD46" s="62">
        <f ca="1">AVERAGE(OFFSET($CC$3,0,0,'Données projet'!$E$12+1,1))-AVERAGE(OFFSET($H$3,0,0,'Données projet'!$E$12+1,1))</f>
        <v>441.30518831297212</v>
      </c>
      <c r="CE46" s="62">
        <f t="shared" si="40"/>
        <v>270.42872405271851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55.888982628949968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6.6</v>
      </c>
      <c r="CT46" s="13">
        <f>IF('Données projet'!$A$140&gt;35,CT45+CS46-DB45,IF(A46&lt;'Données projet'!$A$140,$CQ$205^A46,IF(A46='Données projet'!$A$140,'Données projet'!$B$140,CT45+CS46-DB45)))</f>
        <v>172.79999999999993</v>
      </c>
      <c r="CU46" s="18">
        <f>CT46*VLOOKUP('Données projet'!$B$13,Paramètres!$A$1:$I$89,3,0)*VLOOKUP('Données projet'!$B$13,Paramètres!$A$1:$I$89,5,0)</f>
        <v>150.95807999999997</v>
      </c>
      <c r="CV46" s="14">
        <f t="shared" si="41"/>
        <v>38.796231993724774</v>
      </c>
      <c r="CW46" s="22">
        <f t="shared" si="13"/>
        <v>330.48876005573726</v>
      </c>
      <c r="CX46" s="62">
        <f t="shared" si="14"/>
        <v>572.08169636188723</v>
      </c>
      <c r="CY46" s="62">
        <f ca="1">AVERAGE(OFFSET($CX$3,0,0,'Données projet'!$E$13+1,1))-AVERAGE(OFFSET($H$3,0,0,'Données projet'!$E$13+1,1))</f>
        <v>310.81258463659196</v>
      </c>
      <c r="CZ46" s="62">
        <f t="shared" si="42"/>
        <v>287.31099756692083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55.888982628949968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4.8717948717948731</v>
      </c>
      <c r="DO46" s="13">
        <f>IF('Données projet'!$A$166&gt;35,DO45+DN46-DW45,IF(A46&lt;'Données projet'!$A$166,$DL$205^A46,IF(A46='Données projet'!$A$166,'Données projet'!$B$166,DO45+DN46-DW45)))</f>
        <v>116.53846153846152</v>
      </c>
      <c r="DP46" s="18">
        <f>DO46*VLOOKUP('Données projet'!$B$14,Paramètres!$A$1:$I$89,3,0)*VLOOKUP('Données projet'!$B$14,Paramètres!$A$1:$I$89,5,0)</f>
        <v>121.80599999999998</v>
      </c>
      <c r="DQ46" s="14">
        <f t="shared" si="43"/>
        <v>32.09585223561038</v>
      </c>
      <c r="DR46" s="22">
        <f t="shared" si="16"/>
        <v>268.04572597702139</v>
      </c>
      <c r="DS46" s="62">
        <f t="shared" si="17"/>
        <v>509.6386622831713</v>
      </c>
      <c r="DT46" s="62">
        <f ca="1">AVERAGE(OFFSET($DS$3,0,0,'Données projet'!$E$14+1,1))-AVERAGE(OFFSET($H$3,0,0,'Données projet'!$E$14+1,1))</f>
        <v>431.19274104373625</v>
      </c>
      <c r="DU46" s="62">
        <f t="shared" si="44"/>
        <v>264.67919175178133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55.888982628949968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10.869230769230773</v>
      </c>
      <c r="EJ46" s="13">
        <f>IF('Données projet'!$A$192&gt;35,EJ45+EI46-ER45,IF(A46&lt;'Données projet'!$A$192,$EG$205^A46,IF(A46='Données projet'!$A$192,'Données projet'!$B$192,EJ45+EI46-ER45)))</f>
        <v>230.40769230769229</v>
      </c>
      <c r="EK46" s="18">
        <f>EJ46*VLOOKUP('Données projet'!$B$15,Paramètres!$A$1:$I$89,3,0)*VLOOKUP('Données projet'!$B$15,Paramètres!$A$1:$I$89,5,0)</f>
        <v>107.8308</v>
      </c>
      <c r="EL46" s="14">
        <f t="shared" si="45"/>
        <v>28.819313214368158</v>
      </c>
      <c r="EM46" s="22">
        <f t="shared" si="19"/>
        <v>237.99894718169116</v>
      </c>
      <c r="EN46" s="62">
        <f t="shared" si="20"/>
        <v>479.59188348784107</v>
      </c>
      <c r="EO46" s="62">
        <f ca="1">AVERAGE(OFFSET($EN$3,0,0,'Données projet'!$E$15+1,1))-AVERAGE(OFFSET($H$3,0,0,'Données projet'!$E$15+1,1))</f>
        <v>291.68530745507815</v>
      </c>
      <c r="EP46" s="62">
        <f t="shared" si="46"/>
        <v>175.95121106728979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55.888982628949968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5.6</v>
      </c>
      <c r="FE46" s="13">
        <f>IF('Données projet'!$A$218&gt;35,FE45+FD46-FM45,IF(A46&lt;'Données projet'!$A$218,$FB$205^A46,IF(A46='Données projet'!$A$218,'Données projet'!$B$218,FE45+FD46-FM45)))</f>
        <v>155.7999999999999</v>
      </c>
      <c r="FF46" s="18">
        <f>FE46*VLOOKUP('Données projet'!$B$16,Paramètres!$A$1:$I$89,3,0)*VLOOKUP('Données projet'!$B$16,Paramètres!$A$1:$I$89,5,0)</f>
        <v>102.08015999999992</v>
      </c>
      <c r="FG46" s="14">
        <f t="shared" si="47"/>
        <v>27.456971614793169</v>
      </c>
      <c r="FH46" s="22">
        <f t="shared" si="22"/>
        <v>225.61050422909793</v>
      </c>
      <c r="FI46" s="62">
        <f t="shared" si="23"/>
        <v>467.20344053524786</v>
      </c>
      <c r="FJ46" s="62">
        <f ca="1">AVERAGE(OFFSET($FI$3,0,0,'Données projet'!$E$16+1,1))-AVERAGE(OFFSET($H$3,0,0,'Données projet'!$E$16+1,1))</f>
        <v>248.75689726928428</v>
      </c>
      <c r="FK46" s="62">
        <f t="shared" si="48"/>
        <v>232.02291680388336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projet'!$B$16,Paramètres!$A$1:$I$89,3,0)*0.475*44/12</f>
        <v>0</v>
      </c>
      <c r="FR46" s="23">
        <f>EXP(-LN(2)/25)*FR45+(1-EXP(-LN(2)/25))/(LN(2)/25)*Calculateur!FM46*Calculateur!FO46*VLOOKUP('Données projet'!$B$16,Paramètres!$A$1:$I$89,3,0)*0.475*44/12</f>
        <v>0</v>
      </c>
      <c r="FS46" s="23">
        <f>EXP(-LN(2)/2)*FS45+(1-EXP(-LN(2)/2))/(LN(2)/2)*FM46*FP46*VLOOKUP('Données projet'!$B$16,Paramètres!$A$1:$I$89,3,0)*0.475*44/12</f>
        <v>0</v>
      </c>
      <c r="FT46" s="24">
        <f t="shared" si="24"/>
        <v>0</v>
      </c>
      <c r="FU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55.888982628949968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12.818181818181818</v>
      </c>
      <c r="FZ46" s="13">
        <f>IF('Données projet'!$A$244&gt;35,FZ45+FY46-GH45,IF(A46&lt;'Données projet'!$A$244,$FW$205^A46,IF(A46='Données projet'!$A$244,'Données projet'!$B$244,FZ45+FY46-GH45)))</f>
        <v>199.09090909090901</v>
      </c>
      <c r="GA46" s="18">
        <f>FZ46*VLOOKUP('Données projet'!$B$17,Paramètres!$A$1:$I$89,3,0)*VLOOKUP('Données projet'!$B$17,Paramètres!$A$1:$I$89,5,0)</f>
        <v>119.0563636363636</v>
      </c>
      <c r="GB46" s="14">
        <f t="shared" si="49"/>
        <v>31.454810586453245</v>
      </c>
      <c r="GC46" s="22">
        <f t="shared" si="25"/>
        <v>262.14029510473932</v>
      </c>
      <c r="GD46" s="62">
        <f t="shared" si="26"/>
        <v>503.73323141088923</v>
      </c>
      <c r="GE46" s="62">
        <f ca="1">AVERAGE(OFFSET($GD$3,0,0,'Données projet'!$E$17+1,1))-AVERAGE(OFFSET($H$3,0,0,'Données projet'!$E$17+1,1))</f>
        <v>315.909549580511</v>
      </c>
      <c r="GF46" s="62">
        <f t="shared" si="50"/>
        <v>208.56856525402051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projet'!$B$17,Paramètres!$A$1:$I$89,3,0)*0.475*44/12</f>
        <v>0</v>
      </c>
      <c r="GM46" s="23">
        <f>EXP(-LN(2)/25)*GM45+(1-EXP(-LN(2)/25))/(LN(2)/25)*Calculateur!GH46*Calculateur!GJ46*VLOOKUP('Données projet'!$B$17,Paramètres!$A$1:$I$89,3,0)*0.475*44/12</f>
        <v>0</v>
      </c>
      <c r="GN46" s="23">
        <f>EXP(-LN(2)/2)*GN45+(1-EXP(-LN(2)/2))/(LN(2)/2)*GH46*GK46*VLOOKUP('Données projet'!$B$17,Paramètres!$A$1:$I$89,3,0)*0.475*44/12</f>
        <v>0</v>
      </c>
      <c r="GO46" s="23">
        <f t="shared" si="27"/>
        <v>0</v>
      </c>
      <c r="GP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55.888982628949968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4.8717948717948705</v>
      </c>
      <c r="GU46" s="13">
        <f>IF('Données projet'!$A$270&gt;35,GU45+GT46-HC45,IF(A46&lt;'Données projet'!$A$270,$GR$205^A46,IF(A46='Données projet'!$A$270,'Données projet'!$B$270,GU45+GT46-HC45)))</f>
        <v>114.61538461538463</v>
      </c>
      <c r="GV46" s="18">
        <f>GU46*VLOOKUP('Données projet'!$B$18,Paramètres!$A$1:$I$89,3,0)*VLOOKUP('Données projet'!$B$18,Paramètres!$A$1:$I$89,5,0)</f>
        <v>76.884000000000015</v>
      </c>
      <c r="GW46" s="14">
        <f t="shared" si="51"/>
        <v>21.373553273140775</v>
      </c>
      <c r="GX46" s="22">
        <f t="shared" si="28"/>
        <v>171.13190528405354</v>
      </c>
      <c r="GY46" s="62">
        <f t="shared" si="29"/>
        <v>412.72484159020348</v>
      </c>
      <c r="GZ46" s="62">
        <f ca="1">AVERAGE(OFFSET($GY$3,0,0,'Données projet'!$E$18+1,1))-AVERAGE(OFFSET($H$3,0,0,'Données projet'!$E$18+1,1))</f>
        <v>254.35742752782755</v>
      </c>
      <c r="HA46" s="62">
        <f t="shared" si="52"/>
        <v>171.79611712137395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>
        <f>EXP(-LN(2)/35)*HG45+(1-EXP(-LN(2)/35))/(LN(2)/35)*HC46*HD46*VLOOKUP('Données projet'!$B$18,Paramètres!$A$1:$I$89,3,0)*0.475*44/12</f>
        <v>0</v>
      </c>
      <c r="HH46" s="23">
        <f>EXP(-LN(2)/25)*HH45+(1-EXP(-LN(2)/25))/(LN(2)/25)*Calculateur!HC46*Calculateur!HE46*VLOOKUP('Données projet'!$B$18,Paramètres!$A$1:$I$89,3,0)*0.475*44/12</f>
        <v>0</v>
      </c>
      <c r="HI46" s="23">
        <f>EXP(-LN(2)/2)*HI45+(1-EXP(-LN(2)/2))/(LN(2)/2)*HC46*HF46*VLOOKUP('Données projet'!$B$18,Paramètres!$A$1:$I$89,3,0)*0.475*44/12</f>
        <v>0</v>
      </c>
      <c r="HJ46" s="24">
        <f t="shared" si="30"/>
        <v>0</v>
      </c>
    </row>
    <row r="47" spans="1:218" s="5" customFormat="1" x14ac:dyDescent="0.3">
      <c r="A47" s="11">
        <f t="shared" si="31"/>
        <v>44</v>
      </c>
      <c r="B47" s="76">
        <f>'Scénario référence'!$B$16*5+'Scénario référence'!$B$17*0+'Scénario référence'!$B$18*5</f>
        <v>3.9405000000000001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14.448500000000001</v>
      </c>
      <c r="H47" s="69">
        <f t="shared" si="1"/>
        <v>161.30656666666667</v>
      </c>
      <c r="I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56.133777232829004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>
        <f>VLOOKUP(A47,'Données projet'!$A$35:$I$55,2,0)</f>
        <v>138.62307692307692</v>
      </c>
      <c r="L47" s="13">
        <f>VLOOKUP(A47,'Données projet'!$A$35:$I$55,9,0)</f>
        <v>5.9557692307692314</v>
      </c>
      <c r="M47" s="13">
        <f t="array" ref="M47">INDEX(L:L,MIN(IF(ISNUMBER(L47:L243),ROW(L47:L243),"")))</f>
        <v>5.9557692307692314</v>
      </c>
      <c r="N47" s="14">
        <f>IF('Données projet'!$A$36&gt;35,N46+M47-V46,IF(A47&lt;'Données projet'!$A$36,$K$205^A47,IF(A47='Données projet'!$A$36,'Données projet'!$B$36,N46+M47-V46)))</f>
        <v>138.62307692307689</v>
      </c>
      <c r="O47" s="14">
        <f>N47*VLOOKUP('Données projet'!$B$9,Paramètres!$A$1:$I$89,3,0)*VLOOKUP('Données projet'!$B$9,Paramètres!$A$1:$I$89,5,0)</f>
        <v>81.094499999999996</v>
      </c>
      <c r="P47" s="14">
        <f t="shared" si="33"/>
        <v>22.404583060844672</v>
      </c>
      <c r="Q47" s="22">
        <f t="shared" si="53"/>
        <v>180.2609029976378</v>
      </c>
      <c r="R47" s="62">
        <f t="shared" si="0"/>
        <v>422.75141951801083</v>
      </c>
      <c r="S47" s="62">
        <f ca="1">AVERAGE(OFFSET($R$3,0,0,'Données projet'!$E$9+1,1))-AVERAGE(OFFSET($H$3,0,0,'Données projet'!$E$9+1,1))</f>
        <v>210.54472399593521</v>
      </c>
      <c r="T47" s="62">
        <f t="shared" si="34"/>
        <v>181.14158435194193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56.133777232829004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3.7399999999999975</v>
      </c>
      <c r="AI47" s="14">
        <f>IF('Données projet'!$A$62&gt;35,AI46+AH47-AQ46,IF(A47&lt;'Données projet'!$A$62,$AF$205^A47,IF(A47='Données projet'!$A$62,'Données projet'!$B$62,AI46+AH47-AQ46)))</f>
        <v>187.96000000000009</v>
      </c>
      <c r="AJ47" s="14">
        <f>AI47*VLOOKUP('Données projet'!$B$10,Paramètres!$A$1:$I$89,3,0)*VLOOKUP('Données projet'!$B$10,Paramètres!$A$1:$I$89,5,0)</f>
        <v>97.739200000000054</v>
      </c>
      <c r="AK47" s="14">
        <f t="shared" si="35"/>
        <v>26.422678401406777</v>
      </c>
      <c r="AL47" s="22">
        <f t="shared" si="4"/>
        <v>216.24860488245022</v>
      </c>
      <c r="AM47" s="62">
        <f t="shared" si="5"/>
        <v>458.73912140282323</v>
      </c>
      <c r="AN47" s="62">
        <f ca="1">AVERAGE(OFFSET($AM$3,0,0,'Données projet'!$E$10+1,1))-AVERAGE(OFFSET($H$3,0,0,'Données projet'!$E$10+1,1))</f>
        <v>289.05608923588198</v>
      </c>
      <c r="AO47" s="62">
        <f t="shared" si="36"/>
        <v>220.06639020312738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56.133777232829004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1.8720833333333331</v>
      </c>
      <c r="BD47" s="13">
        <f>IF('Données projet'!$A$88&gt;35,BD46+BC47-BL46,IF(A47&lt;'Données projet'!$A$88,$BA$205^A47,IF(A47='Données projet'!$A$88,'Données projet'!$B$88,BD46+BC47-BL46)))</f>
        <v>63.155000000000015</v>
      </c>
      <c r="BE47" s="14">
        <f>BD47*VLOOKUP('Données projet'!$B$11,Paramètres!$A$1:$I$89,3,0)*VLOOKUP('Données projet'!$B$11,Paramètres!$A$1:$I$89,5,0)</f>
        <v>72.754560000000012</v>
      </c>
      <c r="BF47" s="14">
        <f t="shared" si="37"/>
        <v>20.355967742631517</v>
      </c>
      <c r="BG47" s="22">
        <f t="shared" si="7"/>
        <v>162.16750248508325</v>
      </c>
      <c r="BH47" s="62">
        <f t="shared" si="8"/>
        <v>404.65801900545625</v>
      </c>
      <c r="BI47" s="62">
        <f ca="1">AVERAGE(OFFSET($BH$3,0,0,'Données projet'!$E$11+1,1))-AVERAGE(OFFSET($H$3,0,0,'Données projet'!$E$11+1,1))</f>
        <v>299.54950406029354</v>
      </c>
      <c r="BJ47" s="62">
        <f t="shared" si="38"/>
        <v>208.26364698165739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56.133777232829004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4.8717948717948731</v>
      </c>
      <c r="BY47" s="13">
        <f>IF('Données projet'!$A$114&gt;35,BY46+BX47-CG46,IF(A47&lt;'Données projet'!$A$114,$BV$205^A47,IF(A47='Données projet'!$A$114,'Données projet'!$B$114,BY46+BX47-CG46)))</f>
        <v>121.41025641025639</v>
      </c>
      <c r="BZ47" s="14">
        <f>BY47*VLOOKUP('Données projet'!$B$12,Paramètres!$A$1:$I$89,3,0)*VLOOKUP('Données projet'!$B$12,Paramètres!$A$1:$I$89,5,0)</f>
        <v>130.68599999999998</v>
      </c>
      <c r="CA47" s="14">
        <f t="shared" si="39"/>
        <v>34.154825203753937</v>
      </c>
      <c r="CB47" s="22">
        <f t="shared" si="10"/>
        <v>287.09777056320473</v>
      </c>
      <c r="CC47" s="62">
        <f t="shared" si="11"/>
        <v>529.58828708357771</v>
      </c>
      <c r="CD47" s="62">
        <f ca="1">AVERAGE(OFFSET($CC$3,0,0,'Données projet'!$E$12+1,1))-AVERAGE(OFFSET($H$3,0,0,'Données projet'!$E$12+1,1))</f>
        <v>441.30518831297212</v>
      </c>
      <c r="CE47" s="62">
        <f t="shared" si="40"/>
        <v>270.42872405271851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56.133777232829004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6.6</v>
      </c>
      <c r="CT47" s="13">
        <f>IF('Données projet'!$A$140&gt;35,CT46+CS47-DB46,IF(A47&lt;'Données projet'!$A$140,$CQ$205^A47,IF(A47='Données projet'!$A$140,'Données projet'!$B$140,CT46+CS47-DB46)))</f>
        <v>179.39999999999992</v>
      </c>
      <c r="CU47" s="18">
        <f>CT47*VLOOKUP('Données projet'!$B$13,Paramètres!$A$1:$I$89,3,0)*VLOOKUP('Données projet'!$B$13,Paramètres!$A$1:$I$89,5,0)</f>
        <v>156.72383999999997</v>
      </c>
      <c r="CV47" s="14">
        <f t="shared" si="41"/>
        <v>40.102680984620484</v>
      </c>
      <c r="CW47" s="22">
        <f t="shared" si="13"/>
        <v>342.80619071488059</v>
      </c>
      <c r="CX47" s="62">
        <f t="shared" si="14"/>
        <v>585.29670723525362</v>
      </c>
      <c r="CY47" s="62">
        <f ca="1">AVERAGE(OFFSET($CX$3,0,0,'Données projet'!$E$13+1,1))-AVERAGE(OFFSET($H$3,0,0,'Données projet'!$E$13+1,1))</f>
        <v>310.81258463659196</v>
      </c>
      <c r="CZ47" s="62">
        <f t="shared" si="42"/>
        <v>287.31099756692083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56.133777232829004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4.8717948717948731</v>
      </c>
      <c r="DO47" s="13">
        <f>IF('Données projet'!$A$166&gt;35,DO46+DN47-DW46,IF(A47&lt;'Données projet'!$A$166,$DL$205^A47,IF(A47='Données projet'!$A$166,'Données projet'!$B$166,DO46+DN47-DW46)))</f>
        <v>121.41025641025639</v>
      </c>
      <c r="DP47" s="18">
        <f>DO47*VLOOKUP('Données projet'!$B$14,Paramètres!$A$1:$I$89,3,0)*VLOOKUP('Données projet'!$B$14,Paramètres!$A$1:$I$89,5,0)</f>
        <v>126.898</v>
      </c>
      <c r="DQ47" s="14">
        <f t="shared" si="43"/>
        <v>33.27857383327229</v>
      </c>
      <c r="DR47" s="22">
        <f t="shared" si="16"/>
        <v>278.97419942628261</v>
      </c>
      <c r="DS47" s="62">
        <f t="shared" si="17"/>
        <v>521.46471594665559</v>
      </c>
      <c r="DT47" s="62">
        <f ca="1">AVERAGE(OFFSET($DS$3,0,0,'Données projet'!$E$14+1,1))-AVERAGE(OFFSET($H$3,0,0,'Données projet'!$E$14+1,1))</f>
        <v>431.19274104373625</v>
      </c>
      <c r="DU47" s="62">
        <f t="shared" si="44"/>
        <v>264.67919175178133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56.133777232829004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10.869230769230773</v>
      </c>
      <c r="EJ47" s="13">
        <f>IF('Données projet'!$A$192&gt;35,EJ46+EI47-ER46,IF(A47&lt;'Données projet'!$A$192,$EG$205^A47,IF(A47='Données projet'!$A$192,'Données projet'!$B$192,EJ46+EI47-ER46)))</f>
        <v>241.27692307692305</v>
      </c>
      <c r="EK47" s="18">
        <f>EJ47*VLOOKUP('Données projet'!$B$15,Paramètres!$A$1:$I$89,3,0)*VLOOKUP('Données projet'!$B$15,Paramètres!$A$1:$I$89,5,0)</f>
        <v>112.91759999999999</v>
      </c>
      <c r="EL47" s="14">
        <f t="shared" si="45"/>
        <v>30.017343081157474</v>
      </c>
      <c r="EM47" s="22">
        <f t="shared" si="19"/>
        <v>248.9450258663492</v>
      </c>
      <c r="EN47" s="62">
        <f t="shared" si="20"/>
        <v>491.4355423867222</v>
      </c>
      <c r="EO47" s="62">
        <f ca="1">AVERAGE(OFFSET($EN$3,0,0,'Données projet'!$E$15+1,1))-AVERAGE(OFFSET($H$3,0,0,'Données projet'!$E$15+1,1))</f>
        <v>291.68530745507815</v>
      </c>
      <c r="EP47" s="62">
        <f t="shared" si="46"/>
        <v>175.95121106728979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56.133777232829004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5.6</v>
      </c>
      <c r="FE47" s="13">
        <f>IF('Données projet'!$A$218&gt;35,FE46+FD47-FM46,IF(A47&lt;'Données projet'!$A$218,$FB$205^A47,IF(A47='Données projet'!$A$218,'Données projet'!$B$218,FE46+FD47-FM46)))</f>
        <v>161.39999999999989</v>
      </c>
      <c r="FF47" s="18">
        <f>FE47*VLOOKUP('Données projet'!$B$16,Paramètres!$A$1:$I$89,3,0)*VLOOKUP('Données projet'!$B$16,Paramètres!$A$1:$I$89,5,0)</f>
        <v>105.74927999999993</v>
      </c>
      <c r="FG47" s="14">
        <f t="shared" si="47"/>
        <v>28.327196320252849</v>
      </c>
      <c r="FH47" s="22">
        <f t="shared" si="22"/>
        <v>233.51652959110689</v>
      </c>
      <c r="FI47" s="62">
        <f t="shared" si="23"/>
        <v>476.00704611147989</v>
      </c>
      <c r="FJ47" s="62">
        <f ca="1">AVERAGE(OFFSET($FI$3,0,0,'Données projet'!$E$16+1,1))-AVERAGE(OFFSET($H$3,0,0,'Données projet'!$E$16+1,1))</f>
        <v>248.75689726928428</v>
      </c>
      <c r="FK47" s="62">
        <f t="shared" si="48"/>
        <v>232.02291680388336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projet'!$B$16,Paramètres!$A$1:$I$89,3,0)*0.475*44/12</f>
        <v>0</v>
      </c>
      <c r="FR47" s="23">
        <f>EXP(-LN(2)/25)*FR46+(1-EXP(-LN(2)/25))/(LN(2)/25)*Calculateur!FM47*Calculateur!FO47*VLOOKUP('Données projet'!$B$16,Paramètres!$A$1:$I$89,3,0)*0.475*44/12</f>
        <v>0</v>
      </c>
      <c r="FS47" s="23">
        <f>EXP(-LN(2)/2)*FS46+(1-EXP(-LN(2)/2))/(LN(2)/2)*FM47*FP47*VLOOKUP('Données projet'!$B$16,Paramètres!$A$1:$I$89,3,0)*0.475*44/12</f>
        <v>0</v>
      </c>
      <c r="FT47" s="24">
        <f t="shared" si="24"/>
        <v>0</v>
      </c>
      <c r="FU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56.133777232829004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12.818181818181818</v>
      </c>
      <c r="FZ47" s="13">
        <f>IF('Données projet'!$A$244&gt;35,FZ46+FY47-GH46,IF(A47&lt;'Données projet'!$A$244,$FW$205^A47,IF(A47='Données projet'!$A$244,'Données projet'!$B$244,FZ46+FY47-GH46)))</f>
        <v>211.90909090909082</v>
      </c>
      <c r="GA47" s="18">
        <f>FZ47*VLOOKUP('Données projet'!$B$17,Paramètres!$A$1:$I$89,3,0)*VLOOKUP('Données projet'!$B$17,Paramètres!$A$1:$I$89,5,0)</f>
        <v>126.72163636363632</v>
      </c>
      <c r="GB47" s="14">
        <f t="shared" si="49"/>
        <v>33.237703345000618</v>
      </c>
      <c r="GC47" s="22">
        <f t="shared" si="25"/>
        <v>278.5958499925427</v>
      </c>
      <c r="GD47" s="62">
        <f t="shared" si="26"/>
        <v>521.08636651291567</v>
      </c>
      <c r="GE47" s="62">
        <f ca="1">AVERAGE(OFFSET($GD$3,0,0,'Données projet'!$E$17+1,1))-AVERAGE(OFFSET($H$3,0,0,'Données projet'!$E$17+1,1))</f>
        <v>315.909549580511</v>
      </c>
      <c r="GF47" s="62">
        <f t="shared" si="50"/>
        <v>208.56856525402051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projet'!$B$17,Paramètres!$A$1:$I$89,3,0)*0.475*44/12</f>
        <v>0</v>
      </c>
      <c r="GM47" s="23">
        <f>EXP(-LN(2)/25)*GM46+(1-EXP(-LN(2)/25))/(LN(2)/25)*Calculateur!GH47*Calculateur!GJ47*VLOOKUP('Données projet'!$B$17,Paramètres!$A$1:$I$89,3,0)*0.475*44/12</f>
        <v>0</v>
      </c>
      <c r="GN47" s="23">
        <f>EXP(-LN(2)/2)*GN46+(1-EXP(-LN(2)/2))/(LN(2)/2)*GH47*GK47*VLOOKUP('Données projet'!$B$17,Paramètres!$A$1:$I$89,3,0)*0.475*44/12</f>
        <v>0</v>
      </c>
      <c r="GO47" s="23">
        <f t="shared" si="27"/>
        <v>0</v>
      </c>
      <c r="GP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56.133777232829004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4.8717948717948705</v>
      </c>
      <c r="GU47" s="13">
        <f>IF('Données projet'!$A$270&gt;35,GU46+GT47-HC46,IF(A47&lt;'Données projet'!$A$270,$GR$205^A47,IF(A47='Données projet'!$A$270,'Données projet'!$B$270,GU46+GT47-HC46)))</f>
        <v>119.4871794871795</v>
      </c>
      <c r="GV47" s="18">
        <f>GU47*VLOOKUP('Données projet'!$B$18,Paramètres!$A$1:$I$89,3,0)*VLOOKUP('Données projet'!$B$18,Paramètres!$A$1:$I$89,5,0)</f>
        <v>80.152000000000015</v>
      </c>
      <c r="GW47" s="14">
        <f t="shared" si="51"/>
        <v>22.174344812084261</v>
      </c>
      <c r="GX47" s="22">
        <f t="shared" si="28"/>
        <v>178.21838388104675</v>
      </c>
      <c r="GY47" s="62">
        <f t="shared" si="29"/>
        <v>420.70890040141978</v>
      </c>
      <c r="GZ47" s="62">
        <f ca="1">AVERAGE(OFFSET($GY$3,0,0,'Données projet'!$E$18+1,1))-AVERAGE(OFFSET($H$3,0,0,'Données projet'!$E$18+1,1))</f>
        <v>254.35742752782755</v>
      </c>
      <c r="HA47" s="62">
        <f t="shared" si="52"/>
        <v>171.79611712137395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>
        <f>EXP(-LN(2)/35)*HG46+(1-EXP(-LN(2)/35))/(LN(2)/35)*HC47*HD47*VLOOKUP('Données projet'!$B$18,Paramètres!$A$1:$I$89,3,0)*0.475*44/12</f>
        <v>0</v>
      </c>
      <c r="HH47" s="23">
        <f>EXP(-LN(2)/25)*HH46+(1-EXP(-LN(2)/25))/(LN(2)/25)*Calculateur!HC47*Calculateur!HE47*VLOOKUP('Données projet'!$B$18,Paramètres!$A$1:$I$89,3,0)*0.475*44/12</f>
        <v>0</v>
      </c>
      <c r="HI47" s="23">
        <f>EXP(-LN(2)/2)*HI46+(1-EXP(-LN(2)/2))/(LN(2)/2)*HC47*HF47*VLOOKUP('Données projet'!$B$18,Paramètres!$A$1:$I$89,3,0)*0.475*44/12</f>
        <v>0</v>
      </c>
      <c r="HJ47" s="24">
        <f t="shared" si="30"/>
        <v>0</v>
      </c>
    </row>
    <row r="48" spans="1:218" s="5" customFormat="1" x14ac:dyDescent="0.3">
      <c r="A48" s="11">
        <f t="shared" si="31"/>
        <v>45</v>
      </c>
      <c r="B48" s="76">
        <f>'Scénario référence'!$B$16*5+'Scénario référence'!$B$17*0+'Scénario référence'!$B$18*5</f>
        <v>3.9405000000000001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14.448500000000001</v>
      </c>
      <c r="H48" s="69">
        <f t="shared" si="1"/>
        <v>161.30656666666667</v>
      </c>
      <c r="I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56.374325197609487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6.4759615384615365</v>
      </c>
      <c r="N48" s="14">
        <f>IF('Données projet'!$A$36&gt;35,N47+M48-V47,IF(A48&lt;'Données projet'!$A$36,$K$205^A48,IF(A48='Données projet'!$A$36,'Données projet'!$B$36,N47+M48-V47)))</f>
        <v>145.09903846153844</v>
      </c>
      <c r="O48" s="14">
        <f>N48*VLOOKUP('Données projet'!$B$9,Paramètres!$A$1:$I$89,3,0)*VLOOKUP('Données projet'!$B$9,Paramètres!$A$1:$I$89,5,0)</f>
        <v>84.882937499999997</v>
      </c>
      <c r="P48" s="14">
        <f t="shared" si="33"/>
        <v>23.326939919529902</v>
      </c>
      <c r="Q48" s="22">
        <f t="shared" si="53"/>
        <v>188.46553650568126</v>
      </c>
      <c r="R48" s="62">
        <f t="shared" si="0"/>
        <v>431.83806223024942</v>
      </c>
      <c r="S48" s="62">
        <f ca="1">AVERAGE(OFFSET($R$3,0,0,'Données projet'!$E$9+1,1))-AVERAGE(OFFSET($H$3,0,0,'Données projet'!$E$9+1,1))</f>
        <v>210.54472399593521</v>
      </c>
      <c r="T48" s="62">
        <f t="shared" si="34"/>
        <v>181.14158435194193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56.374325197609487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191.7</v>
      </c>
      <c r="AG48" s="13">
        <f>VLOOKUP(A48,'Données projet'!$A$61:$I$81,9,0)</f>
        <v>3.7399999999999975</v>
      </c>
      <c r="AH48" s="13">
        <f t="array" ref="AH48">INDEX(AG:AG,MIN(IF(ISNUMBER(AG48:AG244),ROW(AG48:AG244),"")))</f>
        <v>3.7399999999999975</v>
      </c>
      <c r="AI48" s="14">
        <f>IF('Données projet'!$A$62&gt;35,AI47+AH48-AQ47,IF(A48&lt;'Données projet'!$A$62,$AF$205^A48,IF(A48='Données projet'!$A$62,'Données projet'!$B$62,AI47+AH48-AQ47)))</f>
        <v>191.7000000000001</v>
      </c>
      <c r="AJ48" s="14">
        <f>AI48*VLOOKUP('Données projet'!$B$10,Paramètres!$A$1:$I$89,3,0)*VLOOKUP('Données projet'!$B$10,Paramètres!$A$1:$I$89,5,0)</f>
        <v>99.684000000000069</v>
      </c>
      <c r="AK48" s="14">
        <f t="shared" si="35"/>
        <v>26.886701044194478</v>
      </c>
      <c r="AL48" s="22">
        <f t="shared" si="4"/>
        <v>220.44397098530553</v>
      </c>
      <c r="AM48" s="62">
        <f t="shared" si="5"/>
        <v>463.81649670987366</v>
      </c>
      <c r="AN48" s="62">
        <f ca="1">AVERAGE(OFFSET($AM$3,0,0,'Données projet'!$E$10+1,1))-AVERAGE(OFFSET($H$3,0,0,'Données projet'!$E$10+1,1))</f>
        <v>289.05608923588198</v>
      </c>
      <c r="AO48" s="62">
        <f t="shared" si="36"/>
        <v>220.06639020312738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56.374325197609487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1.8720833333333331</v>
      </c>
      <c r="BD48" s="13">
        <f>IF('Données projet'!$A$88&gt;35,BD47+BC48-BL47,IF(A48&lt;'Données projet'!$A$88,$BA$205^A48,IF(A48='Données projet'!$A$88,'Données projet'!$B$88,BD47+BC48-BL47)))</f>
        <v>65.027083333333351</v>
      </c>
      <c r="BE48" s="14">
        <f>BD48*VLOOKUP('Données projet'!$B$11,Paramètres!$A$1:$I$89,3,0)*VLOOKUP('Données projet'!$B$11,Paramètres!$A$1:$I$89,5,0)</f>
        <v>74.911200000000022</v>
      </c>
      <c r="BF48" s="14">
        <f t="shared" si="37"/>
        <v>20.888226917907243</v>
      </c>
      <c r="BG48" s="22">
        <f t="shared" si="7"/>
        <v>166.8506685486885</v>
      </c>
      <c r="BH48" s="62">
        <f t="shared" si="8"/>
        <v>410.22319427325664</v>
      </c>
      <c r="BI48" s="62">
        <f ca="1">AVERAGE(OFFSET($BH$3,0,0,'Données projet'!$E$11+1,1))-AVERAGE(OFFSET($H$3,0,0,'Données projet'!$E$11+1,1))</f>
        <v>299.54950406029354</v>
      </c>
      <c r="BJ48" s="62">
        <f t="shared" si="38"/>
        <v>208.26364698165739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56.374325197609487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126.28205128205128</v>
      </c>
      <c r="BW48" s="13">
        <f>VLOOKUP(A48,'Données projet'!$A$113:$I$133,9,0)</f>
        <v>4.8717948717948731</v>
      </c>
      <c r="BX48" s="13">
        <f t="array" ref="BX48">INDEX(BW:BW,MIN(IF(ISNUMBER(BW48:BW244),ROW(BW48:BW244),"")))</f>
        <v>4.8717948717948731</v>
      </c>
      <c r="BY48" s="13">
        <f>IF('Données projet'!$A$114&gt;35,BY47+BX48-CG47,IF(A48&lt;'Données projet'!$A$114,$BV$205^A48,IF(A48='Données projet'!$A$114,'Données projet'!$B$114,BY47+BX48-CG47)))</f>
        <v>126.28205128205127</v>
      </c>
      <c r="BZ48" s="14">
        <f>BY48*VLOOKUP('Données projet'!$B$12,Paramètres!$A$1:$I$89,3,0)*VLOOKUP('Données projet'!$B$12,Paramètres!$A$1:$I$89,5,0)</f>
        <v>135.92999999999998</v>
      </c>
      <c r="CA48" s="14">
        <f t="shared" si="39"/>
        <v>35.363030767110352</v>
      </c>
      <c r="CB48" s="22">
        <f t="shared" si="10"/>
        <v>298.33536191938384</v>
      </c>
      <c r="CC48" s="62">
        <f t="shared" si="11"/>
        <v>541.70788764395195</v>
      </c>
      <c r="CD48" s="62">
        <f ca="1">AVERAGE(OFFSET($CC$3,0,0,'Données projet'!$E$12+1,1))-AVERAGE(OFFSET($H$3,0,0,'Données projet'!$E$12+1,1))</f>
        <v>441.30518831297212</v>
      </c>
      <c r="CE48" s="62">
        <f t="shared" si="40"/>
        <v>270.42872405271851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56.374325197609487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186</v>
      </c>
      <c r="CR48" s="13">
        <f>VLOOKUP(A48,'Données projet'!$A$139:$I$159,9,0)</f>
        <v>6.6</v>
      </c>
      <c r="CS48" s="13">
        <f t="array" ref="CS48">INDEX(CR:CR,MIN(IF(ISNUMBER(CR48:CR244),ROW(CR48:CR244),"")))</f>
        <v>6.6</v>
      </c>
      <c r="CT48" s="13">
        <f>IF('Données projet'!$A$140&gt;35,CT47+CS48-DB47,IF(A48&lt;'Données projet'!$A$140,$CQ$205^A48,IF(A48='Données projet'!$A$140,'Données projet'!$B$140,CT47+CS48-DB47)))</f>
        <v>185.99999999999991</v>
      </c>
      <c r="CU48" s="18">
        <f>CT48*VLOOKUP('Données projet'!$B$13,Paramètres!$A$1:$I$89,3,0)*VLOOKUP('Données projet'!$B$13,Paramètres!$A$1:$I$89,5,0)</f>
        <v>162.48959999999997</v>
      </c>
      <c r="CV48" s="14">
        <f t="shared" si="41"/>
        <v>41.403546033820696</v>
      </c>
      <c r="CW48" s="22">
        <f t="shared" si="13"/>
        <v>355.11389600890431</v>
      </c>
      <c r="CX48" s="62">
        <f t="shared" si="14"/>
        <v>598.48642173347241</v>
      </c>
      <c r="CY48" s="62">
        <f ca="1">AVERAGE(OFFSET($CX$3,0,0,'Données projet'!$E$13+1,1))-AVERAGE(OFFSET($H$3,0,0,'Données projet'!$E$13+1,1))</f>
        <v>310.81258463659196</v>
      </c>
      <c r="CZ48" s="62">
        <f t="shared" si="42"/>
        <v>287.31099756692083</v>
      </c>
      <c r="DA48" s="16">
        <f>IF(ISNA(VLOOKUP(A48,'Données projet'!$A$139:$I$159,3,0)),0,VLOOKUP(A48,'Données projet'!$A$139:$I$159,3,0))</f>
        <v>3</v>
      </c>
      <c r="DB48" s="16">
        <f>IF(ISNA(VLOOKUP(A48,'Données projet'!$A$139:$I$159,4,0)),0,VLOOKUP(A48,'Données projet'!$A$139:$I$159,4,0))</f>
        <v>39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56.374325197609487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126.28205128205128</v>
      </c>
      <c r="DM48" s="13">
        <f>VLOOKUP(A48,'Données projet'!$A$165:$I$185,9,0)</f>
        <v>4.8717948717948731</v>
      </c>
      <c r="DN48" s="13">
        <f t="array" ref="DN48">INDEX(DM:DM,MIN(IF(ISNUMBER(DM48:DM244),ROW(DM48:DM244),"")))</f>
        <v>4.8717948717948731</v>
      </c>
      <c r="DO48" s="13">
        <f>IF('Données projet'!$A$166&gt;35,DO47+DN48-DW47,IF(A48&lt;'Données projet'!$A$166,$DL$205^A48,IF(A48='Données projet'!$A$166,'Données projet'!$B$166,DO47+DN48-DW47)))</f>
        <v>126.28205128205127</v>
      </c>
      <c r="DP48" s="18">
        <f>DO48*VLOOKUP('Données projet'!$B$14,Paramètres!$A$1:$I$89,3,0)*VLOOKUP('Données projet'!$B$14,Paramètres!$A$1:$I$89,5,0)</f>
        <v>131.98999999999998</v>
      </c>
      <c r="DQ48" s="14">
        <f t="shared" si="43"/>
        <v>34.455782552862125</v>
      </c>
      <c r="DR48" s="22">
        <f t="shared" si="16"/>
        <v>289.89307127956818</v>
      </c>
      <c r="DS48" s="62">
        <f t="shared" si="17"/>
        <v>533.26559700413634</v>
      </c>
      <c r="DT48" s="62">
        <f ca="1">AVERAGE(OFFSET($DS$3,0,0,'Données projet'!$E$14+1,1))-AVERAGE(OFFSET($H$3,0,0,'Données projet'!$E$14+1,1))</f>
        <v>431.19274104373625</v>
      </c>
      <c r="DU48" s="62">
        <f t="shared" si="44"/>
        <v>264.67919175178133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56.374325197609487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252.14615384615385</v>
      </c>
      <c r="EH48" s="13">
        <f>VLOOKUP(A48,'Données projet'!$A$191:$I$211,9,0)</f>
        <v>10.869230769230773</v>
      </c>
      <c r="EI48" s="13">
        <f t="array" ref="EI48">INDEX(EH:EH,MIN(IF(ISNUMBER(EH48:EH244),ROW(EH48:EH244),"")))</f>
        <v>10.869230769230773</v>
      </c>
      <c r="EJ48" s="13">
        <f>IF('Données projet'!$A$192&gt;35,EJ47+EI48-ER47,IF(A48&lt;'Données projet'!$A$192,$EG$205^A48,IF(A48='Données projet'!$A$192,'Données projet'!$B$192,EJ47+EI48-ER47)))</f>
        <v>252.14615384615382</v>
      </c>
      <c r="EK48" s="18">
        <f>EJ48*VLOOKUP('Données projet'!$B$15,Paramètres!$A$1:$I$89,3,0)*VLOOKUP('Données projet'!$B$15,Paramètres!$A$1:$I$89,5,0)</f>
        <v>118.00439999999999</v>
      </c>
      <c r="EL48" s="14">
        <f t="shared" si="45"/>
        <v>31.209105068500421</v>
      </c>
      <c r="EM48" s="22">
        <f t="shared" si="19"/>
        <v>259.88018799430489</v>
      </c>
      <c r="EN48" s="62">
        <f t="shared" si="20"/>
        <v>503.252713718873</v>
      </c>
      <c r="EO48" s="62">
        <f ca="1">AVERAGE(OFFSET($EN$3,0,0,'Données projet'!$E$15+1,1))-AVERAGE(OFFSET($H$3,0,0,'Données projet'!$E$15+1,1))</f>
        <v>291.68530745507815</v>
      </c>
      <c r="EP48" s="62">
        <f t="shared" si="46"/>
        <v>175.95121106728979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56.374325197609487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>
        <f>VLOOKUP(A48,'Données projet'!$A$217:$I$237,2,0)</f>
        <v>167</v>
      </c>
      <c r="FC48" s="13">
        <f>VLOOKUP(A48,'Données projet'!$A$217:$I$237,9,0)</f>
        <v>5.6</v>
      </c>
      <c r="FD48" s="13">
        <f t="array" ref="FD48">INDEX(FC:FC,MIN(IF(ISNUMBER(FC48:FC244),ROW(FC48:FC244),"")))</f>
        <v>5.6</v>
      </c>
      <c r="FE48" s="13">
        <f>IF('Données projet'!$A$218&gt;35,FE47+FD48-FM47,IF(A48&lt;'Données projet'!$A$218,$FB$205^A48,IF(A48='Données projet'!$A$218,'Données projet'!$B$218,FE47+FD48-FM47)))</f>
        <v>166.99999999999989</v>
      </c>
      <c r="FF48" s="18">
        <f>FE48*VLOOKUP('Données projet'!$B$16,Paramètres!$A$1:$I$89,3,0)*VLOOKUP('Données projet'!$B$16,Paramètres!$A$1:$I$89,5,0)</f>
        <v>109.41839999999992</v>
      </c>
      <c r="FG48" s="14">
        <f t="shared" si="47"/>
        <v>29.193912826430939</v>
      </c>
      <c r="FH48" s="22">
        <f t="shared" si="22"/>
        <v>241.41644483936707</v>
      </c>
      <c r="FI48" s="62">
        <f t="shared" si="23"/>
        <v>484.78897056393521</v>
      </c>
      <c r="FJ48" s="62">
        <f ca="1">AVERAGE(OFFSET($FI$3,0,0,'Données projet'!$E$16+1,1))-AVERAGE(OFFSET($H$3,0,0,'Données projet'!$E$16+1,1))</f>
        <v>248.75689726928428</v>
      </c>
      <c r="FK48" s="62">
        <f t="shared" si="48"/>
        <v>232.02291680388336</v>
      </c>
      <c r="FL48" s="16">
        <f>IF(ISNA(VLOOKUP(A48,'Données projet'!$A$217:$I$237,3,0)),0,VLOOKUP(A48,'Données projet'!$A$217:$I$237,3,0))</f>
        <v>3</v>
      </c>
      <c r="FM48" s="16">
        <f>IF(ISNA(VLOOKUP(A48,'Données projet'!$A$217:$I$237,4,0)),0,VLOOKUP(A48,'Données projet'!$A$217:$I$237,4,0))</f>
        <v>38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projet'!$B$16,Paramètres!$A$1:$I$89,3,0)*0.475*44/12</f>
        <v>0</v>
      </c>
      <c r="FR48" s="23">
        <f>EXP(-LN(2)/25)*FR47+(1-EXP(-LN(2)/25))/(LN(2)/25)*Calculateur!FM48*Calculateur!FO48*VLOOKUP('Données projet'!$B$16,Paramètres!$A$1:$I$89,3,0)*0.475*44/12</f>
        <v>0</v>
      </c>
      <c r="FS48" s="23">
        <f>EXP(-LN(2)/2)*FS47+(1-EXP(-LN(2)/2))/(LN(2)/2)*FM48*FP48*VLOOKUP('Données projet'!$B$16,Paramètres!$A$1:$I$89,3,0)*0.475*44/12</f>
        <v>0</v>
      </c>
      <c r="FT48" s="24">
        <f t="shared" si="24"/>
        <v>0</v>
      </c>
      <c r="FU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56.374325197609487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12.818181818181818</v>
      </c>
      <c r="FZ48" s="13">
        <f>IF('Données projet'!$A$244&gt;35,FZ47+FY48-GH47,IF(A48&lt;'Données projet'!$A$244,$FW$205^A48,IF(A48='Données projet'!$A$244,'Données projet'!$B$244,FZ47+FY48-GH47)))</f>
        <v>224.72727272727263</v>
      </c>
      <c r="GA48" s="18">
        <f>FZ48*VLOOKUP('Données projet'!$B$17,Paramètres!$A$1:$I$89,3,0)*VLOOKUP('Données projet'!$B$17,Paramètres!$A$1:$I$89,5,0)</f>
        <v>134.38690909090903</v>
      </c>
      <c r="GB48" s="14">
        <f t="shared" si="49"/>
        <v>35.008078919784097</v>
      </c>
      <c r="GC48" s="22">
        <f t="shared" si="25"/>
        <v>295.02960411862381</v>
      </c>
      <c r="GD48" s="62">
        <f t="shared" si="26"/>
        <v>538.40212984319191</v>
      </c>
      <c r="GE48" s="62">
        <f ca="1">AVERAGE(OFFSET($GD$3,0,0,'Données projet'!$E$17+1,1))-AVERAGE(OFFSET($H$3,0,0,'Données projet'!$E$17+1,1))</f>
        <v>315.909549580511</v>
      </c>
      <c r="GF48" s="62">
        <f t="shared" si="50"/>
        <v>208.56856525402051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>
        <f>EXP(-LN(2)/35)*GL47+(1-EXP(-LN(2)/35))/(LN(2)/35)*GH48*GI48*VLOOKUP('Données projet'!$B$17,Paramètres!$A$1:$I$89,3,0)*0.475*44/12</f>
        <v>0</v>
      </c>
      <c r="GM48" s="23">
        <f>EXP(-LN(2)/25)*GM47+(1-EXP(-LN(2)/25))/(LN(2)/25)*Calculateur!GH48*Calculateur!GJ48*VLOOKUP('Données projet'!$B$17,Paramètres!$A$1:$I$89,3,0)*0.475*44/12</f>
        <v>0</v>
      </c>
      <c r="GN48" s="23">
        <f>EXP(-LN(2)/2)*GN47+(1-EXP(-LN(2)/2))/(LN(2)/2)*GH48*GK48*VLOOKUP('Données projet'!$B$17,Paramètres!$A$1:$I$89,3,0)*0.475*44/12</f>
        <v>0</v>
      </c>
      <c r="GO48" s="23">
        <f t="shared" si="27"/>
        <v>0</v>
      </c>
      <c r="GP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56.374325197609487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>
        <f>VLOOKUP(A48,'Données projet'!$A$269:$I$289,2,0)</f>
        <v>124.35897435897435</v>
      </c>
      <c r="GS48" s="13">
        <f>VLOOKUP(A48,'Données projet'!$A$269:$I$289,9,0)</f>
        <v>4.8717948717948705</v>
      </c>
      <c r="GT48" s="13">
        <f t="array" ref="GT48">INDEX(GS:GS,MIN(IF(ISNUMBER(GS48:GS244),ROW(GS48:GS244),"")))</f>
        <v>4.8717948717948705</v>
      </c>
      <c r="GU48" s="13">
        <f>IF('Données projet'!$A$270&gt;35,GU47+GT48-HC47,IF(A48&lt;'Données projet'!$A$270,$GR$205^A48,IF(A48='Données projet'!$A$270,'Données projet'!$B$270,GU47+GT48-HC47)))</f>
        <v>124.35897435897438</v>
      </c>
      <c r="GV48" s="18">
        <f>GU48*VLOOKUP('Données projet'!$B$18,Paramètres!$A$1:$I$89,3,0)*VLOOKUP('Données projet'!$B$18,Paramètres!$A$1:$I$89,5,0)</f>
        <v>83.420000000000016</v>
      </c>
      <c r="GW48" s="14">
        <f t="shared" si="51"/>
        <v>22.971343750654679</v>
      </c>
      <c r="GX48" s="22">
        <f t="shared" si="28"/>
        <v>185.29825703239024</v>
      </c>
      <c r="GY48" s="62">
        <f t="shared" si="29"/>
        <v>428.67078275695837</v>
      </c>
      <c r="GZ48" s="62">
        <f ca="1">AVERAGE(OFFSET($GY$3,0,0,'Données projet'!$E$18+1,1))-AVERAGE(OFFSET($H$3,0,0,'Données projet'!$E$18+1,1))</f>
        <v>254.35742752782755</v>
      </c>
      <c r="HA48" s="62">
        <f t="shared" si="52"/>
        <v>171.79611712137395</v>
      </c>
      <c r="HB48" s="16">
        <f>IF(ISNA(VLOOKUP(A48,'Données projet'!$A$269:$I$289,3,0)),0,VLOOKUP(A48,'Données projet'!$A$269:$I$289,3,0))</f>
        <v>3</v>
      </c>
      <c r="HC48" s="16">
        <f>IF(ISNA(VLOOKUP(A48,'Données projet'!$A$269:$I$289,4,0)),0,VLOOKUP(A48,'Données projet'!$A$269:$I$289,4,0))</f>
        <v>21.794871794871796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>
        <f>EXP(-LN(2)/35)*HG47+(1-EXP(-LN(2)/35))/(LN(2)/35)*HC48*HD48*VLOOKUP('Données projet'!$B$18,Paramètres!$A$1:$I$89,3,0)*0.475*44/12</f>
        <v>0</v>
      </c>
      <c r="HH48" s="23">
        <f>EXP(-LN(2)/25)*HH47+(1-EXP(-LN(2)/25))/(LN(2)/25)*Calculateur!HC48*Calculateur!HE48*VLOOKUP('Données projet'!$B$18,Paramètres!$A$1:$I$89,3,0)*0.475*44/12</f>
        <v>0</v>
      </c>
      <c r="HI48" s="23">
        <f>EXP(-LN(2)/2)*HI47+(1-EXP(-LN(2)/2))/(LN(2)/2)*HC48*HF48*VLOOKUP('Données projet'!$B$18,Paramètres!$A$1:$I$89,3,0)*0.475*44/12</f>
        <v>0</v>
      </c>
      <c r="HJ48" s="24">
        <f t="shared" si="30"/>
        <v>0</v>
      </c>
    </row>
    <row r="49" spans="1:218" s="5" customFormat="1" x14ac:dyDescent="0.3">
      <c r="A49" s="11">
        <f t="shared" si="31"/>
        <v>46</v>
      </c>
      <c r="B49" s="76">
        <f>'Scénario référence'!$B$16*5+'Scénario référence'!$B$17*0+'Scénario référence'!$B$18*5</f>
        <v>3.9405000000000001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14.448500000000001</v>
      </c>
      <c r="H49" s="69">
        <f t="shared" si="1"/>
        <v>161.30656666666667</v>
      </c>
      <c r="I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56.610700192985703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6.4759615384615365</v>
      </c>
      <c r="N49" s="14">
        <f>IF('Données projet'!$A$36&gt;35,N48+M49-V48,IF(A49&lt;'Données projet'!$A$36,$K$205^A49,IF(A49='Données projet'!$A$36,'Données projet'!$B$36,N48+M49-V48)))</f>
        <v>151.57499999999999</v>
      </c>
      <c r="O49" s="14">
        <f>N49*VLOOKUP('Données projet'!$B$9,Paramètres!$A$1:$I$89,3,0)*VLOOKUP('Données projet'!$B$9,Paramètres!$A$1:$I$89,5,0)</f>
        <v>88.671374999999998</v>
      </c>
      <c r="P49" s="14">
        <f t="shared" si="33"/>
        <v>24.244515804498253</v>
      </c>
      <c r="Q49" s="22">
        <f t="shared" si="53"/>
        <v>196.66184315116777</v>
      </c>
      <c r="R49" s="62">
        <f t="shared" si="0"/>
        <v>440.90107719211539</v>
      </c>
      <c r="S49" s="62">
        <f ca="1">AVERAGE(OFFSET($R$3,0,0,'Données projet'!$E$9+1,1))-AVERAGE(OFFSET($H$3,0,0,'Données projet'!$E$9+1,1))</f>
        <v>210.54472399593521</v>
      </c>
      <c r="T49" s="62">
        <f t="shared" si="34"/>
        <v>181.14158435194193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56.610700192985703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3.5</v>
      </c>
      <c r="AI49" s="14">
        <f>IF('Données projet'!$A$62&gt;35,AI48+AH49-AQ48,IF(A49&lt;'Données projet'!$A$62,$AF$205^A49,IF(A49='Données projet'!$A$62,'Données projet'!$B$62,AI48+AH49-AQ48)))</f>
        <v>195.2000000000001</v>
      </c>
      <c r="AJ49" s="14">
        <f>AI49*VLOOKUP('Données projet'!$B$10,Paramètres!$A$1:$I$89,3,0)*VLOOKUP('Données projet'!$B$10,Paramètres!$A$1:$I$89,5,0)</f>
        <v>101.50400000000006</v>
      </c>
      <c r="AK49" s="14">
        <f t="shared" si="35"/>
        <v>27.31999291386828</v>
      </c>
      <c r="AL49" s="22">
        <f t="shared" si="4"/>
        <v>224.36845432498737</v>
      </c>
      <c r="AM49" s="62">
        <f t="shared" si="5"/>
        <v>468.60768836593496</v>
      </c>
      <c r="AN49" s="62">
        <f ca="1">AVERAGE(OFFSET($AM$3,0,0,'Données projet'!$E$10+1,1))-AVERAGE(OFFSET($H$3,0,0,'Données projet'!$E$10+1,1))</f>
        <v>289.05608923588198</v>
      </c>
      <c r="AO49" s="62">
        <f t="shared" si="36"/>
        <v>220.06639020312738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56.610700192985703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1.8720833333333331</v>
      </c>
      <c r="BD49" s="13">
        <f>IF('Données projet'!$A$88&gt;35,BD48+BC49-BL48,IF(A49&lt;'Données projet'!$A$88,$BA$205^A49,IF(A49='Données projet'!$A$88,'Données projet'!$B$88,BD48+BC49-BL48)))</f>
        <v>66.899166666666687</v>
      </c>
      <c r="BE49" s="14">
        <f>BD49*VLOOKUP('Données projet'!$B$11,Paramètres!$A$1:$I$89,3,0)*VLOOKUP('Données projet'!$B$11,Paramètres!$A$1:$I$89,5,0)</f>
        <v>77.067840000000018</v>
      </c>
      <c r="BF49" s="14">
        <f t="shared" si="37"/>
        <v>21.418705179130875</v>
      </c>
      <c r="BG49" s="22">
        <f t="shared" si="7"/>
        <v>171.53073285365295</v>
      </c>
      <c r="BH49" s="62">
        <f t="shared" si="8"/>
        <v>415.76996689460054</v>
      </c>
      <c r="BI49" s="62">
        <f ca="1">AVERAGE(OFFSET($BH$3,0,0,'Données projet'!$E$11+1,1))-AVERAGE(OFFSET($H$3,0,0,'Données projet'!$E$11+1,1))</f>
        <v>299.54950406029354</v>
      </c>
      <c r="BJ49" s="62">
        <f t="shared" si="38"/>
        <v>208.26364698165739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56.610700192985703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4.6153846153846159</v>
      </c>
      <c r="BY49" s="13">
        <f>IF('Données projet'!$A$114&gt;35,BY48+BX49-CG48,IF(A49&lt;'Données projet'!$A$114,$BV$205^A49,IF(A49='Données projet'!$A$114,'Données projet'!$B$114,BY48+BX49-CG48)))</f>
        <v>130.89743589743588</v>
      </c>
      <c r="BZ49" s="14">
        <f>BY49*VLOOKUP('Données projet'!$B$12,Paramètres!$A$1:$I$89,3,0)*VLOOKUP('Données projet'!$B$12,Paramètres!$A$1:$I$89,5,0)</f>
        <v>140.898</v>
      </c>
      <c r="CA49" s="14">
        <f t="shared" si="39"/>
        <v>36.502648070246146</v>
      </c>
      <c r="CB49" s="22">
        <f t="shared" si="10"/>
        <v>308.97279538901205</v>
      </c>
      <c r="CC49" s="62">
        <f t="shared" si="11"/>
        <v>553.21202942995967</v>
      </c>
      <c r="CD49" s="62">
        <f ca="1">AVERAGE(OFFSET($CC$3,0,0,'Données projet'!$E$12+1,1))-AVERAGE(OFFSET($H$3,0,0,'Données projet'!$E$12+1,1))</f>
        <v>441.30518831297212</v>
      </c>
      <c r="CE49" s="62">
        <f t="shared" si="40"/>
        <v>270.42872405271851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56.610700192985703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5.4</v>
      </c>
      <c r="CT49" s="13">
        <f>IF('Données projet'!$A$140&gt;35,CT48+CS49-DB48,IF(A49&lt;'Données projet'!$A$140,$CQ$205^A49,IF(A49='Données projet'!$A$140,'Données projet'!$B$140,CT48+CS49-DB48)))</f>
        <v>152.39999999999992</v>
      </c>
      <c r="CU49" s="18">
        <f>CT49*VLOOKUP('Données projet'!$B$13,Paramètres!$A$1:$I$89,3,0)*VLOOKUP('Données projet'!$B$13,Paramètres!$A$1:$I$89,5,0)</f>
        <v>133.13663999999994</v>
      </c>
      <c r="CV49" s="14">
        <f t="shared" si="41"/>
        <v>34.720135986247143</v>
      </c>
      <c r="CW49" s="22">
        <f t="shared" si="13"/>
        <v>292.35055150938035</v>
      </c>
      <c r="CX49" s="62">
        <f t="shared" si="14"/>
        <v>536.58978555032797</v>
      </c>
      <c r="CY49" s="62">
        <f ca="1">AVERAGE(OFFSET($CX$3,0,0,'Données projet'!$E$13+1,1))-AVERAGE(OFFSET($H$3,0,0,'Données projet'!$E$13+1,1))</f>
        <v>310.81258463659196</v>
      </c>
      <c r="CZ49" s="62">
        <f t="shared" si="42"/>
        <v>287.31099756692083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56.610700192985703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4.6153846153846159</v>
      </c>
      <c r="DO49" s="13">
        <f>IF('Données projet'!$A$166&gt;35,DO48+DN49-DW48,IF(A49&lt;'Données projet'!$A$166,$DL$205^A49,IF(A49='Données projet'!$A$166,'Données projet'!$B$166,DO48+DN49-DW48)))</f>
        <v>130.89743589743588</v>
      </c>
      <c r="DP49" s="18">
        <f>DO49*VLOOKUP('Données projet'!$B$14,Paramètres!$A$1:$I$89,3,0)*VLOOKUP('Données projet'!$B$14,Paramètres!$A$1:$I$89,5,0)</f>
        <v>136.81399999999999</v>
      </c>
      <c r="DQ49" s="14">
        <f t="shared" si="43"/>
        <v>35.566162662783157</v>
      </c>
      <c r="DR49" s="22">
        <f t="shared" si="16"/>
        <v>300.2287833043473</v>
      </c>
      <c r="DS49" s="62">
        <f t="shared" si="17"/>
        <v>544.46801734529492</v>
      </c>
      <c r="DT49" s="62">
        <f ca="1">AVERAGE(OFFSET($DS$3,0,0,'Données projet'!$E$14+1,1))-AVERAGE(OFFSET($H$3,0,0,'Données projet'!$E$14+1,1))</f>
        <v>431.19274104373625</v>
      </c>
      <c r="DU49" s="62">
        <f t="shared" si="44"/>
        <v>264.67919175178133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56.610700192985703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11.615384615384608</v>
      </c>
      <c r="EJ49" s="13">
        <f>IF('Données projet'!$A$192&gt;35,EJ48+EI49-ER48,IF(A49&lt;'Données projet'!$A$192,$EG$205^A49,IF(A49='Données projet'!$A$192,'Données projet'!$B$192,EJ48+EI49-ER48)))</f>
        <v>263.76153846153841</v>
      </c>
      <c r="EK49" s="18">
        <f>EJ49*VLOOKUP('Données projet'!$B$15,Paramètres!$A$1:$I$89,3,0)*VLOOKUP('Données projet'!$B$15,Paramètres!$A$1:$I$89,5,0)</f>
        <v>123.44039999999998</v>
      </c>
      <c r="EL49" s="14">
        <f t="shared" si="45"/>
        <v>32.476091260477197</v>
      </c>
      <c r="EM49" s="22">
        <f t="shared" si="19"/>
        <v>271.55455561199773</v>
      </c>
      <c r="EN49" s="62">
        <f t="shared" si="20"/>
        <v>515.79378965294529</v>
      </c>
      <c r="EO49" s="62">
        <f ca="1">AVERAGE(OFFSET($EN$3,0,0,'Données projet'!$E$15+1,1))-AVERAGE(OFFSET($H$3,0,0,'Données projet'!$E$15+1,1))</f>
        <v>291.68530745507815</v>
      </c>
      <c r="EP49" s="62">
        <f t="shared" si="46"/>
        <v>175.95121106728979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56.610700192985703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5</v>
      </c>
      <c r="FE49" s="13">
        <f>IF('Données projet'!$A$218&gt;35,FE48+FD49-FM48,IF(A49&lt;'Données projet'!$A$218,$FB$205^A49,IF(A49='Données projet'!$A$218,'Données projet'!$B$218,FE48+FD49-FM48)))</f>
        <v>133.99999999999989</v>
      </c>
      <c r="FF49" s="18">
        <f>FE49*VLOOKUP('Données projet'!$B$16,Paramètres!$A$1:$I$89,3,0)*VLOOKUP('Données projet'!$B$16,Paramètres!$A$1:$I$89,5,0)</f>
        <v>87.796799999999934</v>
      </c>
      <c r="FG49" s="14">
        <f t="shared" si="47"/>
        <v>24.033102173590805</v>
      </c>
      <c r="FH49" s="22">
        <f t="shared" si="22"/>
        <v>194.77041295233721</v>
      </c>
      <c r="FI49" s="62">
        <f t="shared" si="23"/>
        <v>439.00964699328483</v>
      </c>
      <c r="FJ49" s="62">
        <f ca="1">AVERAGE(OFFSET($FI$3,0,0,'Données projet'!$E$16+1,1))-AVERAGE(OFFSET($H$3,0,0,'Données projet'!$E$16+1,1))</f>
        <v>248.75689726928428</v>
      </c>
      <c r="FK49" s="62">
        <f t="shared" si="48"/>
        <v>232.02291680388336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projet'!$B$16,Paramètres!$A$1:$I$89,3,0)*0.475*44/12</f>
        <v>0</v>
      </c>
      <c r="FR49" s="23">
        <f>EXP(-LN(2)/25)*FR48+(1-EXP(-LN(2)/25))/(LN(2)/25)*Calculateur!FM49*Calculateur!FO49*VLOOKUP('Données projet'!$B$16,Paramètres!$A$1:$I$89,3,0)*0.475*44/12</f>
        <v>0</v>
      </c>
      <c r="FS49" s="23">
        <f>EXP(-LN(2)/2)*FS48+(1-EXP(-LN(2)/2))/(LN(2)/2)*FM49*FP49*VLOOKUP('Données projet'!$B$16,Paramètres!$A$1:$I$89,3,0)*0.475*44/12</f>
        <v>0</v>
      </c>
      <c r="FT49" s="24">
        <f t="shared" si="24"/>
        <v>0</v>
      </c>
      <c r="FU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56.610700192985703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12.818181818181818</v>
      </c>
      <c r="FZ49" s="13">
        <f>IF('Données projet'!$A$244&gt;35,FZ48+FY49-GH48,IF(A49&lt;'Données projet'!$A$244,$FW$205^A49,IF(A49='Données projet'!$A$244,'Données projet'!$B$244,FZ48+FY49-GH48)))</f>
        <v>237.54545454545445</v>
      </c>
      <c r="GA49" s="18">
        <f>FZ49*VLOOKUP('Données projet'!$B$17,Paramètres!$A$1:$I$89,3,0)*VLOOKUP('Données projet'!$B$17,Paramètres!$A$1:$I$89,5,0)</f>
        <v>142.05218181818177</v>
      </c>
      <c r="GB49" s="14">
        <f t="shared" si="49"/>
        <v>36.766732628338723</v>
      </c>
      <c r="GC49" s="22">
        <f t="shared" si="25"/>
        <v>311.44294266102321</v>
      </c>
      <c r="GD49" s="62">
        <f t="shared" si="26"/>
        <v>555.68217670197077</v>
      </c>
      <c r="GE49" s="62">
        <f ca="1">AVERAGE(OFFSET($GD$3,0,0,'Données projet'!$E$17+1,1))-AVERAGE(OFFSET($H$3,0,0,'Données projet'!$E$17+1,1))</f>
        <v>315.909549580511</v>
      </c>
      <c r="GF49" s="62">
        <f t="shared" si="50"/>
        <v>208.56856525402051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projet'!$B$17,Paramètres!$A$1:$I$89,3,0)*0.475*44/12</f>
        <v>0</v>
      </c>
      <c r="GM49" s="23">
        <f>EXP(-LN(2)/25)*GM48+(1-EXP(-LN(2)/25))/(LN(2)/25)*Calculateur!GH49*Calculateur!GJ49*VLOOKUP('Données projet'!$B$17,Paramètres!$A$1:$I$89,3,0)*0.475*44/12</f>
        <v>0</v>
      </c>
      <c r="GN49" s="23">
        <f>EXP(-LN(2)/2)*GN48+(1-EXP(-LN(2)/2))/(LN(2)/2)*GH49*GK49*VLOOKUP('Données projet'!$B$17,Paramètres!$A$1:$I$89,3,0)*0.475*44/12</f>
        <v>0</v>
      </c>
      <c r="GO49" s="23">
        <f t="shared" si="27"/>
        <v>0</v>
      </c>
      <c r="GP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56.610700192985703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4.487179487179489</v>
      </c>
      <c r="GU49" s="13">
        <f>IF('Données projet'!$A$270&gt;35,GU48+GT49-HC48,IF(A49&lt;'Données projet'!$A$270,$GR$205^A49,IF(A49='Données projet'!$A$270,'Données projet'!$B$270,GU48+GT49-HC48)))</f>
        <v>107.05128205128207</v>
      </c>
      <c r="GV49" s="18">
        <f>GU49*VLOOKUP('Données projet'!$B$18,Paramètres!$A$1:$I$89,3,0)*VLOOKUP('Données projet'!$B$18,Paramètres!$A$1:$I$89,5,0)</f>
        <v>71.810000000000016</v>
      </c>
      <c r="GW49" s="14">
        <f t="shared" si="51"/>
        <v>20.122274358686862</v>
      </c>
      <c r="GX49" s="22">
        <f t="shared" si="28"/>
        <v>160.11537784137965</v>
      </c>
      <c r="GY49" s="62">
        <f t="shared" si="29"/>
        <v>404.35461188232728</v>
      </c>
      <c r="GZ49" s="62">
        <f ca="1">AVERAGE(OFFSET($GY$3,0,0,'Données projet'!$E$18+1,1))-AVERAGE(OFFSET($H$3,0,0,'Données projet'!$E$18+1,1))</f>
        <v>254.35742752782755</v>
      </c>
      <c r="HA49" s="62">
        <f t="shared" si="52"/>
        <v>171.79611712137395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>
        <f>EXP(-LN(2)/35)*HG48+(1-EXP(-LN(2)/35))/(LN(2)/35)*HC49*HD49*VLOOKUP('Données projet'!$B$18,Paramètres!$A$1:$I$89,3,0)*0.475*44/12</f>
        <v>0</v>
      </c>
      <c r="HH49" s="23">
        <f>EXP(-LN(2)/25)*HH48+(1-EXP(-LN(2)/25))/(LN(2)/25)*Calculateur!HC49*Calculateur!HE49*VLOOKUP('Données projet'!$B$18,Paramètres!$A$1:$I$89,3,0)*0.475*44/12</f>
        <v>0</v>
      </c>
      <c r="HI49" s="23">
        <f>EXP(-LN(2)/2)*HI48+(1-EXP(-LN(2)/2))/(LN(2)/2)*HC49*HF49*VLOOKUP('Données projet'!$B$18,Paramètres!$A$1:$I$89,3,0)*0.475*44/12</f>
        <v>0</v>
      </c>
      <c r="HJ49" s="24">
        <f t="shared" si="30"/>
        <v>0</v>
      </c>
    </row>
    <row r="50" spans="1:218" s="5" customFormat="1" x14ac:dyDescent="0.3">
      <c r="A50" s="11">
        <f t="shared" si="31"/>
        <v>47</v>
      </c>
      <c r="B50" s="76">
        <f>'Scénario référence'!$B$16*5+'Scénario référence'!$B$17*0+'Scénario référence'!$B$18*5</f>
        <v>3.9405000000000001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14.448500000000001</v>
      </c>
      <c r="H50" s="69">
        <f t="shared" si="1"/>
        <v>161.30656666666667</v>
      </c>
      <c r="I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56.842974610647474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6.4759615384615365</v>
      </c>
      <c r="N50" s="14">
        <f>IF('Données projet'!$A$36&gt;35,N49+M50-V49,IF(A50&lt;'Données projet'!$A$36,$K$205^A50,IF(A50='Données projet'!$A$36,'Données projet'!$B$36,N49+M50-V49)))</f>
        <v>158.05096153846154</v>
      </c>
      <c r="O50" s="14">
        <f>N50*VLOOKUP('Données projet'!$B$9,Paramètres!$A$1:$I$89,3,0)*VLOOKUP('Données projet'!$B$9,Paramètres!$A$1:$I$89,5,0)</f>
        <v>92.459812500000012</v>
      </c>
      <c r="P50" s="14">
        <f t="shared" si="33"/>
        <v>25.157538331922787</v>
      </c>
      <c r="Q50" s="22">
        <f t="shared" si="53"/>
        <v>204.85021936559886</v>
      </c>
      <c r="R50" s="62">
        <f t="shared" si="0"/>
        <v>449.94112627130625</v>
      </c>
      <c r="S50" s="62">
        <f ca="1">AVERAGE(OFFSET($R$3,0,0,'Données projet'!$E$9+1,1))-AVERAGE(OFFSET($H$3,0,0,'Données projet'!$E$9+1,1))</f>
        <v>210.54472399593521</v>
      </c>
      <c r="T50" s="62">
        <f t="shared" si="34"/>
        <v>181.14158435194193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56.842974610647474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3.5</v>
      </c>
      <c r="AI50" s="14">
        <f>IF('Données projet'!$A$62&gt;35,AI49+AH50-AQ49,IF(A50&lt;'Données projet'!$A$62,$AF$205^A50,IF(A50='Données projet'!$A$62,'Données projet'!$B$62,AI49+AH50-AQ49)))</f>
        <v>198.7000000000001</v>
      </c>
      <c r="AJ50" s="14">
        <f>AI50*VLOOKUP('Données projet'!$B$10,Paramètres!$A$1:$I$89,3,0)*VLOOKUP('Données projet'!$B$10,Paramètres!$A$1:$I$89,5,0)</f>
        <v>103.32400000000007</v>
      </c>
      <c r="AK50" s="14">
        <f t="shared" si="35"/>
        <v>27.752381356208407</v>
      </c>
      <c r="AL50" s="22">
        <f t="shared" si="4"/>
        <v>228.29136419539643</v>
      </c>
      <c r="AM50" s="62">
        <f t="shared" si="5"/>
        <v>473.38227110110381</v>
      </c>
      <c r="AN50" s="62">
        <f ca="1">AVERAGE(OFFSET($AM$3,0,0,'Données projet'!$E$10+1,1))-AVERAGE(OFFSET($H$3,0,0,'Données projet'!$E$10+1,1))</f>
        <v>289.05608923588198</v>
      </c>
      <c r="AO50" s="62">
        <f t="shared" si="36"/>
        <v>220.06639020312738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56.842974610647474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1.8720833333333331</v>
      </c>
      <c r="BD50" s="13">
        <f>IF('Données projet'!$A$88&gt;35,BD49+BC50-BL49,IF(A50&lt;'Données projet'!$A$88,$BA$205^A50,IF(A50='Données projet'!$A$88,'Données projet'!$B$88,BD49+BC50-BL49)))</f>
        <v>68.771250000000023</v>
      </c>
      <c r="BE50" s="14">
        <f>BD50*VLOOKUP('Données projet'!$B$11,Paramètres!$A$1:$I$89,3,0)*VLOOKUP('Données projet'!$B$11,Paramètres!$A$1:$I$89,5,0)</f>
        <v>79.224480000000028</v>
      </c>
      <c r="BF50" s="14">
        <f t="shared" si="37"/>
        <v>21.947458087932979</v>
      </c>
      <c r="BG50" s="22">
        <f t="shared" si="7"/>
        <v>176.20779216981666</v>
      </c>
      <c r="BH50" s="62">
        <f t="shared" si="8"/>
        <v>421.29869907552404</v>
      </c>
      <c r="BI50" s="62">
        <f ca="1">AVERAGE(OFFSET($BH$3,0,0,'Données projet'!$E$11+1,1))-AVERAGE(OFFSET($H$3,0,0,'Données projet'!$E$11+1,1))</f>
        <v>299.54950406029354</v>
      </c>
      <c r="BJ50" s="62">
        <f t="shared" si="38"/>
        <v>208.26364698165739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56.842974610647474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4.6153846153846159</v>
      </c>
      <c r="BY50" s="13">
        <f>IF('Données projet'!$A$114&gt;35,BY49+BX50-CG49,IF(A50&lt;'Données projet'!$A$114,$BV$205^A50,IF(A50='Données projet'!$A$114,'Données projet'!$B$114,BY49+BX50-CG49)))</f>
        <v>135.5128205128205</v>
      </c>
      <c r="BZ50" s="14">
        <f>BY50*VLOOKUP('Données projet'!$B$12,Paramètres!$A$1:$I$89,3,0)*VLOOKUP('Données projet'!$B$12,Paramètres!$A$1:$I$89,5,0)</f>
        <v>145.86599999999999</v>
      </c>
      <c r="CA50" s="14">
        <f t="shared" si="39"/>
        <v>37.637596706043936</v>
      </c>
      <c r="CB50" s="22">
        <f t="shared" si="10"/>
        <v>319.60209759635984</v>
      </c>
      <c r="CC50" s="62">
        <f t="shared" si="11"/>
        <v>564.6930045020672</v>
      </c>
      <c r="CD50" s="62">
        <f ca="1">AVERAGE(OFFSET($CC$3,0,0,'Données projet'!$E$12+1,1))-AVERAGE(OFFSET($H$3,0,0,'Données projet'!$E$12+1,1))</f>
        <v>441.30518831297212</v>
      </c>
      <c r="CE50" s="62">
        <f t="shared" si="40"/>
        <v>270.42872405271851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56.842974610647474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5.4</v>
      </c>
      <c r="CT50" s="13">
        <f>IF('Données projet'!$A$140&gt;35,CT49+CS50-DB49,IF(A50&lt;'Données projet'!$A$140,$CQ$205^A50,IF(A50='Données projet'!$A$140,'Données projet'!$B$140,CT49+CS50-DB49)))</f>
        <v>157.79999999999993</v>
      </c>
      <c r="CU50" s="18">
        <f>CT50*VLOOKUP('Données projet'!$B$13,Paramètres!$A$1:$I$89,3,0)*VLOOKUP('Données projet'!$B$13,Paramètres!$A$1:$I$89,5,0)</f>
        <v>137.85407999999995</v>
      </c>
      <c r="CV50" s="14">
        <f t="shared" si="41"/>
        <v>35.804964283629964</v>
      </c>
      <c r="CW50" s="22">
        <f t="shared" si="13"/>
        <v>302.45616879398875</v>
      </c>
      <c r="CX50" s="62">
        <f t="shared" si="14"/>
        <v>547.54707569969617</v>
      </c>
      <c r="CY50" s="62">
        <f ca="1">AVERAGE(OFFSET($CX$3,0,0,'Données projet'!$E$13+1,1))-AVERAGE(OFFSET($H$3,0,0,'Données projet'!$E$13+1,1))</f>
        <v>310.81258463659196</v>
      </c>
      <c r="CZ50" s="62">
        <f t="shared" si="42"/>
        <v>287.31099756692083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56.842974610647474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4.6153846153846159</v>
      </c>
      <c r="DO50" s="13">
        <f>IF('Données projet'!$A$166&gt;35,DO49+DN50-DW49,IF(A50&lt;'Données projet'!$A$166,$DL$205^A50,IF(A50='Données projet'!$A$166,'Données projet'!$B$166,DO49+DN50-DW49)))</f>
        <v>135.5128205128205</v>
      </c>
      <c r="DP50" s="18">
        <f>DO50*VLOOKUP('Données projet'!$B$14,Paramètres!$A$1:$I$89,3,0)*VLOOKUP('Données projet'!$B$14,Paramètres!$A$1:$I$89,5,0)</f>
        <v>141.63799999999998</v>
      </c>
      <c r="DQ50" s="14">
        <f t="shared" si="43"/>
        <v>36.671993881302122</v>
      </c>
      <c r="DR50" s="22">
        <f t="shared" si="16"/>
        <v>310.55657267660109</v>
      </c>
      <c r="DS50" s="62">
        <f t="shared" si="17"/>
        <v>555.64747958230851</v>
      </c>
      <c r="DT50" s="62">
        <f ca="1">AVERAGE(OFFSET($DS$3,0,0,'Données projet'!$E$14+1,1))-AVERAGE(OFFSET($H$3,0,0,'Données projet'!$E$14+1,1))</f>
        <v>431.19274104373625</v>
      </c>
      <c r="DU50" s="62">
        <f t="shared" si="44"/>
        <v>264.67919175178133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56.842974610647474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11.615384615384608</v>
      </c>
      <c r="EJ50" s="13">
        <f>IF('Données projet'!$A$192&gt;35,EJ49+EI50-ER49,IF(A50&lt;'Données projet'!$A$192,$EG$205^A50,IF(A50='Données projet'!$A$192,'Données projet'!$B$192,EJ49+EI50-ER49)))</f>
        <v>275.37692307692299</v>
      </c>
      <c r="EK50" s="18">
        <f>EJ50*VLOOKUP('Données projet'!$B$15,Paramètres!$A$1:$I$89,3,0)*VLOOKUP('Données projet'!$B$15,Paramètres!$A$1:$I$89,5,0)</f>
        <v>128.87639999999996</v>
      </c>
      <c r="EL50" s="14">
        <f t="shared" si="45"/>
        <v>33.736597338654839</v>
      </c>
      <c r="EM50" s="22">
        <f t="shared" si="19"/>
        <v>283.21763703149043</v>
      </c>
      <c r="EN50" s="62">
        <f t="shared" si="20"/>
        <v>528.30854393719778</v>
      </c>
      <c r="EO50" s="62">
        <f ca="1">AVERAGE(OFFSET($EN$3,0,0,'Données projet'!$E$15+1,1))-AVERAGE(OFFSET($H$3,0,0,'Données projet'!$E$15+1,1))</f>
        <v>291.68530745507815</v>
      </c>
      <c r="EP50" s="62">
        <f t="shared" si="46"/>
        <v>175.95121106728979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56.842974610647474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5</v>
      </c>
      <c r="FE50" s="13">
        <f>IF('Données projet'!$A$218&gt;35,FE49+FD50-FM49,IF(A50&lt;'Données projet'!$A$218,$FB$205^A50,IF(A50='Données projet'!$A$218,'Données projet'!$B$218,FE49+FD50-FM49)))</f>
        <v>138.99999999999989</v>
      </c>
      <c r="FF50" s="18">
        <f>FE50*VLOOKUP('Données projet'!$B$16,Paramètres!$A$1:$I$89,3,0)*VLOOKUP('Données projet'!$B$16,Paramètres!$A$1:$I$89,5,0)</f>
        <v>91.07279999999993</v>
      </c>
      <c r="FG50" s="14">
        <f t="shared" si="47"/>
        <v>24.823779817332358</v>
      </c>
      <c r="FH50" s="22">
        <f t="shared" si="22"/>
        <v>201.85320984852038</v>
      </c>
      <c r="FI50" s="62">
        <f t="shared" si="23"/>
        <v>446.94411675422776</v>
      </c>
      <c r="FJ50" s="62">
        <f ca="1">AVERAGE(OFFSET($FI$3,0,0,'Données projet'!$E$16+1,1))-AVERAGE(OFFSET($H$3,0,0,'Données projet'!$E$16+1,1))</f>
        <v>248.75689726928428</v>
      </c>
      <c r="FK50" s="62">
        <f t="shared" si="48"/>
        <v>232.02291680388336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projet'!$B$16,Paramètres!$A$1:$I$89,3,0)*0.475*44/12</f>
        <v>0</v>
      </c>
      <c r="FR50" s="23">
        <f>EXP(-LN(2)/25)*FR49+(1-EXP(-LN(2)/25))/(LN(2)/25)*Calculateur!FM50*Calculateur!FO50*VLOOKUP('Données projet'!$B$16,Paramètres!$A$1:$I$89,3,0)*0.475*44/12</f>
        <v>0</v>
      </c>
      <c r="FS50" s="23">
        <f>EXP(-LN(2)/2)*FS49+(1-EXP(-LN(2)/2))/(LN(2)/2)*FM50*FP50*VLOOKUP('Données projet'!$B$16,Paramètres!$A$1:$I$89,3,0)*0.475*44/12</f>
        <v>0</v>
      </c>
      <c r="FT50" s="24">
        <f t="shared" si="24"/>
        <v>0</v>
      </c>
      <c r="FU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56.842974610647474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12.818181818181818</v>
      </c>
      <c r="FZ50" s="13">
        <f>IF('Données projet'!$A$244&gt;35,FZ49+FY50-GH49,IF(A50&lt;'Données projet'!$A$244,$FW$205^A50,IF(A50='Données projet'!$A$244,'Données projet'!$B$244,FZ49+FY50-GH49)))</f>
        <v>250.36363636363626</v>
      </c>
      <c r="GA50" s="18">
        <f>FZ50*VLOOKUP('Données projet'!$B$17,Paramètres!$A$1:$I$89,3,0)*VLOOKUP('Données projet'!$B$17,Paramètres!$A$1:$I$89,5,0)</f>
        <v>149.7174545454545</v>
      </c>
      <c r="GB50" s="14">
        <f t="shared" si="49"/>
        <v>38.514369108360931</v>
      </c>
      <c r="GC50" s="22">
        <f t="shared" si="25"/>
        <v>327.83709286372851</v>
      </c>
      <c r="GD50" s="62">
        <f t="shared" si="26"/>
        <v>572.92799976943593</v>
      </c>
      <c r="GE50" s="62">
        <f ca="1">AVERAGE(OFFSET($GD$3,0,0,'Données projet'!$E$17+1,1))-AVERAGE(OFFSET($H$3,0,0,'Données projet'!$E$17+1,1))</f>
        <v>315.909549580511</v>
      </c>
      <c r="GF50" s="62">
        <f t="shared" si="50"/>
        <v>208.56856525402051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projet'!$B$17,Paramètres!$A$1:$I$89,3,0)*0.475*44/12</f>
        <v>0</v>
      </c>
      <c r="GM50" s="23">
        <f>EXP(-LN(2)/25)*GM49+(1-EXP(-LN(2)/25))/(LN(2)/25)*Calculateur!GH50*Calculateur!GJ50*VLOOKUP('Données projet'!$B$17,Paramètres!$A$1:$I$89,3,0)*0.475*44/12</f>
        <v>0</v>
      </c>
      <c r="GN50" s="23">
        <f>EXP(-LN(2)/2)*GN49+(1-EXP(-LN(2)/2))/(LN(2)/2)*GH50*GK50*VLOOKUP('Données projet'!$B$17,Paramètres!$A$1:$I$89,3,0)*0.475*44/12</f>
        <v>0</v>
      </c>
      <c r="GO50" s="23">
        <f t="shared" si="27"/>
        <v>0</v>
      </c>
      <c r="GP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56.842974610647474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4.487179487179489</v>
      </c>
      <c r="GU50" s="13">
        <f>IF('Données projet'!$A$270&gt;35,GU49+GT50-HC49,IF(A50&lt;'Données projet'!$A$270,$GR$205^A50,IF(A50='Données projet'!$A$270,'Données projet'!$B$270,GU49+GT50-HC49)))</f>
        <v>111.53846153846156</v>
      </c>
      <c r="GV50" s="18">
        <f>GU50*VLOOKUP('Données projet'!$B$18,Paramètres!$A$1:$I$89,3,0)*VLOOKUP('Données projet'!$B$18,Paramètres!$A$1:$I$89,5,0)</f>
        <v>74.820000000000022</v>
      </c>
      <c r="GW50" s="14">
        <f t="shared" si="51"/>
        <v>20.865755206280021</v>
      </c>
      <c r="GX50" s="22">
        <f t="shared" si="28"/>
        <v>166.65269031760442</v>
      </c>
      <c r="GY50" s="62">
        <f t="shared" si="29"/>
        <v>411.74359722331178</v>
      </c>
      <c r="GZ50" s="62">
        <f ca="1">AVERAGE(OFFSET($GY$3,0,0,'Données projet'!$E$18+1,1))-AVERAGE(OFFSET($H$3,0,0,'Données projet'!$E$18+1,1))</f>
        <v>254.35742752782755</v>
      </c>
      <c r="HA50" s="62">
        <f t="shared" si="52"/>
        <v>171.79611712137395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>
        <f>EXP(-LN(2)/35)*HG49+(1-EXP(-LN(2)/35))/(LN(2)/35)*HC50*HD50*VLOOKUP('Données projet'!$B$18,Paramètres!$A$1:$I$89,3,0)*0.475*44/12</f>
        <v>0</v>
      </c>
      <c r="HH50" s="23">
        <f>EXP(-LN(2)/25)*HH49+(1-EXP(-LN(2)/25))/(LN(2)/25)*Calculateur!HC50*Calculateur!HE50*VLOOKUP('Données projet'!$B$18,Paramètres!$A$1:$I$89,3,0)*0.475*44/12</f>
        <v>0</v>
      </c>
      <c r="HI50" s="23">
        <f>EXP(-LN(2)/2)*HI49+(1-EXP(-LN(2)/2))/(LN(2)/2)*HC50*HF50*VLOOKUP('Données projet'!$B$18,Paramètres!$A$1:$I$89,3,0)*0.475*44/12</f>
        <v>0</v>
      </c>
      <c r="HJ50" s="24">
        <f t="shared" si="30"/>
        <v>0</v>
      </c>
    </row>
    <row r="51" spans="1:218" s="5" customFormat="1" x14ac:dyDescent="0.3">
      <c r="A51" s="11">
        <f t="shared" si="31"/>
        <v>48</v>
      </c>
      <c r="B51" s="76">
        <f>'Scénario référence'!$B$16*5+'Scénario référence'!$B$17*0+'Scénario référence'!$B$18*5</f>
        <v>3.9405000000000001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14.448500000000001</v>
      </c>
      <c r="H51" s="69">
        <f t="shared" si="1"/>
        <v>161.30656666666667</v>
      </c>
      <c r="I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57.07121958645061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6.4759615384615365</v>
      </c>
      <c r="N51" s="14">
        <f>IF('Données projet'!$A$36&gt;35,N50+M51-V50,IF(A51&lt;'Données projet'!$A$36,$K$205^A51,IF(A51='Données projet'!$A$36,'Données projet'!$B$36,N50+M51-V50)))</f>
        <v>164.52692307692308</v>
      </c>
      <c r="O51" s="14">
        <f>N51*VLOOKUP('Données projet'!$B$9,Paramètres!$A$1:$I$89,3,0)*VLOOKUP('Données projet'!$B$9,Paramètres!$A$1:$I$89,5,0)</f>
        <v>96.248250000000013</v>
      </c>
      <c r="P51" s="14">
        <f t="shared" si="33"/>
        <v>26.066215409845562</v>
      </c>
      <c r="Q51" s="22">
        <f t="shared" si="53"/>
        <v>213.03102725548104</v>
      </c>
      <c r="R51" s="62">
        <f t="shared" si="0"/>
        <v>458.95883240579997</v>
      </c>
      <c r="S51" s="62">
        <f ca="1">AVERAGE(OFFSET($R$3,0,0,'Données projet'!$E$9+1,1))-AVERAGE(OFFSET($H$3,0,0,'Données projet'!$E$9+1,1))</f>
        <v>210.54472399593521</v>
      </c>
      <c r="T51" s="62">
        <f t="shared" si="34"/>
        <v>181.14158435194193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57.07121958645061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3.5</v>
      </c>
      <c r="AI51" s="14">
        <f>IF('Données projet'!$A$62&gt;35,AI50+AH51-AQ50,IF(A51&lt;'Données projet'!$A$62,$AF$205^A51,IF(A51='Données projet'!$A$62,'Données projet'!$B$62,AI50+AH51-AQ50)))</f>
        <v>202.2000000000001</v>
      </c>
      <c r="AJ51" s="14">
        <f>AI51*VLOOKUP('Données projet'!$B$10,Paramètres!$A$1:$I$89,3,0)*VLOOKUP('Données projet'!$B$10,Paramètres!$A$1:$I$89,5,0)</f>
        <v>105.14400000000008</v>
      </c>
      <c r="AK51" s="14">
        <f t="shared" si="35"/>
        <v>28.183884120602002</v>
      </c>
      <c r="AL51" s="22">
        <f t="shared" si="4"/>
        <v>232.2127315100486</v>
      </c>
      <c r="AM51" s="62">
        <f t="shared" si="5"/>
        <v>478.1405366603675</v>
      </c>
      <c r="AN51" s="62">
        <f ca="1">AVERAGE(OFFSET($AM$3,0,0,'Données projet'!$E$10+1,1))-AVERAGE(OFFSET($H$3,0,0,'Données projet'!$E$10+1,1))</f>
        <v>289.05608923588198</v>
      </c>
      <c r="AO51" s="62">
        <f t="shared" si="36"/>
        <v>220.06639020312738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57.07121958645061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1.8720833333333331</v>
      </c>
      <c r="BD51" s="13">
        <f>IF('Données projet'!$A$88&gt;35,BD50+BC51-BL50,IF(A51&lt;'Données projet'!$A$88,$BA$205^A51,IF(A51='Données projet'!$A$88,'Données projet'!$B$88,BD50+BC51-BL50)))</f>
        <v>70.643333333333359</v>
      </c>
      <c r="BE51" s="14">
        <f>BD51*VLOOKUP('Données projet'!$B$11,Paramètres!$A$1:$I$89,3,0)*VLOOKUP('Données projet'!$B$11,Paramètres!$A$1:$I$89,5,0)</f>
        <v>81.381120000000024</v>
      </c>
      <c r="BF51" s="14">
        <f t="shared" si="37"/>
        <v>22.474538008777976</v>
      </c>
      <c r="BG51" s="22">
        <f t="shared" si="7"/>
        <v>180.88193769862167</v>
      </c>
      <c r="BH51" s="62">
        <f t="shared" si="8"/>
        <v>426.80974284894057</v>
      </c>
      <c r="BI51" s="62">
        <f ca="1">AVERAGE(OFFSET($BH$3,0,0,'Données projet'!$E$11+1,1))-AVERAGE(OFFSET($H$3,0,0,'Données projet'!$E$11+1,1))</f>
        <v>299.54950406029354</v>
      </c>
      <c r="BJ51" s="62">
        <f t="shared" si="38"/>
        <v>208.26364698165739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57.07121958645061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4.6153846153846159</v>
      </c>
      <c r="BY51" s="13">
        <f>IF('Données projet'!$A$114&gt;35,BY50+BX51-CG50,IF(A51&lt;'Données projet'!$A$114,$BV$205^A51,IF(A51='Données projet'!$A$114,'Données projet'!$B$114,BY50+BX51-CG50)))</f>
        <v>140.12820512820511</v>
      </c>
      <c r="BZ51" s="14">
        <f>BY51*VLOOKUP('Données projet'!$B$12,Paramètres!$A$1:$I$89,3,0)*VLOOKUP('Données projet'!$B$12,Paramètres!$A$1:$I$89,5,0)</f>
        <v>150.83399999999997</v>
      </c>
      <c r="CA51" s="14">
        <f t="shared" si="39"/>
        <v>38.768053909845577</v>
      </c>
      <c r="CB51" s="22">
        <f t="shared" si="10"/>
        <v>330.22357722631432</v>
      </c>
      <c r="CC51" s="62">
        <f t="shared" si="11"/>
        <v>576.15138237663325</v>
      </c>
      <c r="CD51" s="62">
        <f ca="1">AVERAGE(OFFSET($CC$3,0,0,'Données projet'!$E$12+1,1))-AVERAGE(OFFSET($H$3,0,0,'Données projet'!$E$12+1,1))</f>
        <v>441.30518831297212</v>
      </c>
      <c r="CE51" s="62">
        <f t="shared" si="40"/>
        <v>270.42872405271851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57.07121958645061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5.4</v>
      </c>
      <c r="CT51" s="13">
        <f>IF('Données projet'!$A$140&gt;35,CT50+CS51-DB50,IF(A51&lt;'Données projet'!$A$140,$CQ$205^A51,IF(A51='Données projet'!$A$140,'Données projet'!$B$140,CT50+CS51-DB50)))</f>
        <v>163.19999999999993</v>
      </c>
      <c r="CU51" s="18">
        <f>CT51*VLOOKUP('Données projet'!$B$13,Paramètres!$A$1:$I$89,3,0)*VLOOKUP('Données projet'!$B$13,Paramètres!$A$1:$I$89,5,0)</f>
        <v>142.57151999999996</v>
      </c>
      <c r="CV51" s="14">
        <f t="shared" si="41"/>
        <v>36.88547912245555</v>
      </c>
      <c r="CW51" s="22">
        <f t="shared" si="13"/>
        <v>312.55427347160997</v>
      </c>
      <c r="CX51" s="62">
        <f t="shared" si="14"/>
        <v>558.48207862192885</v>
      </c>
      <c r="CY51" s="62">
        <f ca="1">AVERAGE(OFFSET($CX$3,0,0,'Données projet'!$E$13+1,1))-AVERAGE(OFFSET($H$3,0,0,'Données projet'!$E$13+1,1))</f>
        <v>310.81258463659196</v>
      </c>
      <c r="CZ51" s="62">
        <f t="shared" si="42"/>
        <v>287.31099756692083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57.07121958645061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4.6153846153846159</v>
      </c>
      <c r="DO51" s="13">
        <f>IF('Données projet'!$A$166&gt;35,DO50+DN51-DW50,IF(A51&lt;'Données projet'!$A$166,$DL$205^A51,IF(A51='Données projet'!$A$166,'Données projet'!$B$166,DO50+DN51-DW50)))</f>
        <v>140.12820512820511</v>
      </c>
      <c r="DP51" s="18">
        <f>DO51*VLOOKUP('Données projet'!$B$14,Paramètres!$A$1:$I$89,3,0)*VLOOKUP('Données projet'!$B$14,Paramètres!$A$1:$I$89,5,0)</f>
        <v>146.46199999999999</v>
      </c>
      <c r="DQ51" s="14">
        <f t="shared" si="43"/>
        <v>37.773448896739666</v>
      </c>
      <c r="DR51" s="22">
        <f t="shared" si="16"/>
        <v>320.8767401618216</v>
      </c>
      <c r="DS51" s="62">
        <f t="shared" si="17"/>
        <v>566.80454531214048</v>
      </c>
      <c r="DT51" s="62">
        <f ca="1">AVERAGE(OFFSET($DS$3,0,0,'Données projet'!$E$14+1,1))-AVERAGE(OFFSET($H$3,0,0,'Données projet'!$E$14+1,1))</f>
        <v>431.19274104373625</v>
      </c>
      <c r="DU51" s="62">
        <f t="shared" si="44"/>
        <v>264.67919175178133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57.07121958645061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11.615384615384608</v>
      </c>
      <c r="EJ51" s="13">
        <f>IF('Données projet'!$A$192&gt;35,EJ50+EI51-ER50,IF(A51&lt;'Données projet'!$A$192,$EG$205^A51,IF(A51='Données projet'!$A$192,'Données projet'!$B$192,EJ50+EI51-ER50)))</f>
        <v>286.99230769230758</v>
      </c>
      <c r="EK51" s="18">
        <f>EJ51*VLOOKUP('Données projet'!$B$15,Paramètres!$A$1:$I$89,3,0)*VLOOKUP('Données projet'!$B$15,Paramètres!$A$1:$I$89,5,0)</f>
        <v>134.31239999999994</v>
      </c>
      <c r="EL51" s="14">
        <f t="shared" si="45"/>
        <v>34.990927885997522</v>
      </c>
      <c r="EM51" s="22">
        <f t="shared" si="19"/>
        <v>294.86996273477894</v>
      </c>
      <c r="EN51" s="62">
        <f t="shared" si="20"/>
        <v>540.79776788509787</v>
      </c>
      <c r="EO51" s="62">
        <f ca="1">AVERAGE(OFFSET($EN$3,0,0,'Données projet'!$E$15+1,1))-AVERAGE(OFFSET($H$3,0,0,'Données projet'!$E$15+1,1))</f>
        <v>291.68530745507815</v>
      </c>
      <c r="EP51" s="62">
        <f t="shared" si="46"/>
        <v>175.95121106728979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57.07121958645061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5</v>
      </c>
      <c r="FE51" s="13">
        <f>IF('Données projet'!$A$218&gt;35,FE50+FD51-FM50,IF(A51&lt;'Données projet'!$A$218,$FB$205^A51,IF(A51='Données projet'!$A$218,'Données projet'!$B$218,FE50+FD51-FM50)))</f>
        <v>143.99999999999989</v>
      </c>
      <c r="FF51" s="18">
        <f>FE51*VLOOKUP('Données projet'!$B$16,Paramètres!$A$1:$I$89,3,0)*VLOOKUP('Données projet'!$B$16,Paramètres!$A$1:$I$89,5,0)</f>
        <v>94.348799999999926</v>
      </c>
      <c r="FG51" s="14">
        <f t="shared" si="47"/>
        <v>25.611153022386439</v>
      </c>
      <c r="FH51" s="22">
        <f t="shared" si="22"/>
        <v>208.93025151398959</v>
      </c>
      <c r="FI51" s="62">
        <f t="shared" si="23"/>
        <v>454.85805666430849</v>
      </c>
      <c r="FJ51" s="62">
        <f ca="1">AVERAGE(OFFSET($FI$3,0,0,'Données projet'!$E$16+1,1))-AVERAGE(OFFSET($H$3,0,0,'Données projet'!$E$16+1,1))</f>
        <v>248.75689726928428</v>
      </c>
      <c r="FK51" s="62">
        <f t="shared" si="48"/>
        <v>232.02291680388336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projet'!$B$16,Paramètres!$A$1:$I$89,3,0)*0.475*44/12</f>
        <v>0</v>
      </c>
      <c r="FR51" s="23">
        <f>EXP(-LN(2)/25)*FR50+(1-EXP(-LN(2)/25))/(LN(2)/25)*Calculateur!FM51*Calculateur!FO51*VLOOKUP('Données projet'!$B$16,Paramètres!$A$1:$I$89,3,0)*0.475*44/12</f>
        <v>0</v>
      </c>
      <c r="FS51" s="23">
        <f>EXP(-LN(2)/2)*FS50+(1-EXP(-LN(2)/2))/(LN(2)/2)*FM51*FP51*VLOOKUP('Données projet'!$B$16,Paramètres!$A$1:$I$89,3,0)*0.475*44/12</f>
        <v>0</v>
      </c>
      <c r="FT51" s="24">
        <f t="shared" si="24"/>
        <v>0</v>
      </c>
      <c r="FU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57.07121958645061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12.818181818181818</v>
      </c>
      <c r="FZ51" s="13">
        <f>IF('Données projet'!$A$244&gt;35,FZ50+FY51-GH50,IF(A51&lt;'Données projet'!$A$244,$FW$205^A51,IF(A51='Données projet'!$A$244,'Données projet'!$B$244,FZ50+FY51-GH50)))</f>
        <v>263.18181818181807</v>
      </c>
      <c r="GA51" s="18">
        <f>FZ51*VLOOKUP('Données projet'!$B$17,Paramètres!$A$1:$I$89,3,0)*VLOOKUP('Données projet'!$B$17,Paramètres!$A$1:$I$89,5,0)</f>
        <v>157.38272727272721</v>
      </c>
      <c r="GB51" s="14">
        <f t="shared" si="49"/>
        <v>40.251616769645032</v>
      </c>
      <c r="GC51" s="22">
        <f t="shared" si="25"/>
        <v>344.21314920713166</v>
      </c>
      <c r="GD51" s="62">
        <f t="shared" si="26"/>
        <v>590.1409543574506</v>
      </c>
      <c r="GE51" s="62">
        <f ca="1">AVERAGE(OFFSET($GD$3,0,0,'Données projet'!$E$17+1,1))-AVERAGE(OFFSET($H$3,0,0,'Données projet'!$E$17+1,1))</f>
        <v>315.909549580511</v>
      </c>
      <c r="GF51" s="62">
        <f t="shared" si="50"/>
        <v>208.56856525402051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projet'!$B$17,Paramètres!$A$1:$I$89,3,0)*0.475*44/12</f>
        <v>0</v>
      </c>
      <c r="GM51" s="23">
        <f>EXP(-LN(2)/25)*GM50+(1-EXP(-LN(2)/25))/(LN(2)/25)*Calculateur!GH51*Calculateur!GJ51*VLOOKUP('Données projet'!$B$17,Paramètres!$A$1:$I$89,3,0)*0.475*44/12</f>
        <v>0</v>
      </c>
      <c r="GN51" s="23">
        <f>EXP(-LN(2)/2)*GN50+(1-EXP(-LN(2)/2))/(LN(2)/2)*GH51*GK51*VLOOKUP('Données projet'!$B$17,Paramètres!$A$1:$I$89,3,0)*0.475*44/12</f>
        <v>0</v>
      </c>
      <c r="GO51" s="23">
        <f t="shared" si="27"/>
        <v>0</v>
      </c>
      <c r="GP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57.07121958645061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4.487179487179489</v>
      </c>
      <c r="GU51" s="13">
        <f>IF('Données projet'!$A$270&gt;35,GU50+GT51-HC50,IF(A51&lt;'Données projet'!$A$270,$GR$205^A51,IF(A51='Données projet'!$A$270,'Données projet'!$B$270,GU50+GT51-HC50)))</f>
        <v>116.02564102564105</v>
      </c>
      <c r="GV51" s="18">
        <f>GU51*VLOOKUP('Données projet'!$B$18,Paramètres!$A$1:$I$89,3,0)*VLOOKUP('Données projet'!$B$18,Paramètres!$A$1:$I$89,5,0)</f>
        <v>77.830000000000013</v>
      </c>
      <c r="GW51" s="14">
        <f t="shared" si="51"/>
        <v>21.605761661627508</v>
      </c>
      <c r="GX51" s="22">
        <f t="shared" si="28"/>
        <v>173.18395156066791</v>
      </c>
      <c r="GY51" s="62">
        <f t="shared" si="29"/>
        <v>419.11175671098681</v>
      </c>
      <c r="GZ51" s="62">
        <f ca="1">AVERAGE(OFFSET($GY$3,0,0,'Données projet'!$E$18+1,1))-AVERAGE(OFFSET($H$3,0,0,'Données projet'!$E$18+1,1))</f>
        <v>254.35742752782755</v>
      </c>
      <c r="HA51" s="62">
        <f t="shared" si="52"/>
        <v>171.79611712137395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>
        <f>EXP(-LN(2)/35)*HG50+(1-EXP(-LN(2)/35))/(LN(2)/35)*HC51*HD51*VLOOKUP('Données projet'!$B$18,Paramètres!$A$1:$I$89,3,0)*0.475*44/12</f>
        <v>0</v>
      </c>
      <c r="HH51" s="23">
        <f>EXP(-LN(2)/25)*HH50+(1-EXP(-LN(2)/25))/(LN(2)/25)*Calculateur!HC51*Calculateur!HE51*VLOOKUP('Données projet'!$B$18,Paramètres!$A$1:$I$89,3,0)*0.475*44/12</f>
        <v>0</v>
      </c>
      <c r="HI51" s="23">
        <f>EXP(-LN(2)/2)*HI50+(1-EXP(-LN(2)/2))/(LN(2)/2)*HC51*HF51*VLOOKUP('Données projet'!$B$18,Paramètres!$A$1:$I$89,3,0)*0.475*44/12</f>
        <v>0</v>
      </c>
      <c r="HJ51" s="24">
        <f t="shared" si="30"/>
        <v>0</v>
      </c>
    </row>
    <row r="52" spans="1:218" s="5" customFormat="1" x14ac:dyDescent="0.3">
      <c r="A52" s="11">
        <f t="shared" si="31"/>
        <v>49</v>
      </c>
      <c r="B52" s="76">
        <f>'Scénario référence'!$B$16*5+'Scénario référence'!$B$17*0+'Scénario référence'!$B$18*5</f>
        <v>3.9405000000000001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14.448500000000001</v>
      </c>
      <c r="H52" s="69">
        <f t="shared" si="1"/>
        <v>161.30656666666667</v>
      </c>
      <c r="I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57.295505022202882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6.4759615384615365</v>
      </c>
      <c r="N52" s="14">
        <f>IF('Données projet'!$A$36&gt;35,N51+M52-V51,IF(A52&lt;'Données projet'!$A$36,$K$205^A52,IF(A52='Données projet'!$A$36,'Données projet'!$B$36,N51+M52-V51)))</f>
        <v>171.00288461538463</v>
      </c>
      <c r="O52" s="14">
        <f>N52*VLOOKUP('Données projet'!$B$9,Paramètres!$A$1:$I$89,3,0)*VLOOKUP('Données projet'!$B$9,Paramètres!$A$1:$I$89,5,0)</f>
        <v>100.03668750000001</v>
      </c>
      <c r="P52" s="14">
        <f t="shared" si="33"/>
        <v>26.970737652719411</v>
      </c>
      <c r="Q52" s="22">
        <f t="shared" si="53"/>
        <v>221.20459880765301</v>
      </c>
      <c r="R52" s="62">
        <f t="shared" si="0"/>
        <v>467.95478388906361</v>
      </c>
      <c r="S52" s="62">
        <f ca="1">AVERAGE(OFFSET($R$3,0,0,'Données projet'!$E$9+1,1))-AVERAGE(OFFSET($H$3,0,0,'Données projet'!$E$9+1,1))</f>
        <v>210.54472399593521</v>
      </c>
      <c r="T52" s="62">
        <f t="shared" si="34"/>
        <v>181.14158435194193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57.295505022202882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3.5</v>
      </c>
      <c r="AI52" s="14">
        <f>IF('Données projet'!$A$62&gt;35,AI51+AH52-AQ51,IF(A52&lt;'Données projet'!$A$62,$AF$205^A52,IF(A52='Données projet'!$A$62,'Données projet'!$B$62,AI51+AH52-AQ51)))</f>
        <v>205.7000000000001</v>
      </c>
      <c r="AJ52" s="14">
        <f>AI52*VLOOKUP('Données projet'!$B$10,Paramètres!$A$1:$I$89,3,0)*VLOOKUP('Données projet'!$B$10,Paramètres!$A$1:$I$89,5,0)</f>
        <v>106.96400000000006</v>
      </c>
      <c r="AK52" s="14">
        <f t="shared" si="35"/>
        <v>28.614518306762253</v>
      </c>
      <c r="AL52" s="22">
        <f t="shared" si="4"/>
        <v>236.1325860509443</v>
      </c>
      <c r="AM52" s="62">
        <f t="shared" si="5"/>
        <v>482.88277113235489</v>
      </c>
      <c r="AN52" s="62">
        <f ca="1">AVERAGE(OFFSET($AM$3,0,0,'Données projet'!$E$10+1,1))-AVERAGE(OFFSET($H$3,0,0,'Données projet'!$E$10+1,1))</f>
        <v>289.05608923588198</v>
      </c>
      <c r="AO52" s="62">
        <f t="shared" si="36"/>
        <v>220.06639020312738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57.295505022202882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1.8720833333333331</v>
      </c>
      <c r="BD52" s="13">
        <f>IF('Données projet'!$A$88&gt;35,BD51+BC52-BL51,IF(A52&lt;'Données projet'!$A$88,$BA$205^A52,IF(A52='Données projet'!$A$88,'Données projet'!$B$88,BD51+BC52-BL51)))</f>
        <v>72.515416666666695</v>
      </c>
      <c r="BE52" s="14">
        <f>BD52*VLOOKUP('Données projet'!$B$11,Paramètres!$A$1:$I$89,3,0)*VLOOKUP('Données projet'!$B$11,Paramètres!$A$1:$I$89,5,0)</f>
        <v>83.537760000000034</v>
      </c>
      <c r="BF52" s="14">
        <f t="shared" si="37"/>
        <v>22.999994372723616</v>
      </c>
      <c r="BG52" s="22">
        <f t="shared" si="7"/>
        <v>185.55325553249369</v>
      </c>
      <c r="BH52" s="62">
        <f t="shared" si="8"/>
        <v>432.30344061390429</v>
      </c>
      <c r="BI52" s="62">
        <f ca="1">AVERAGE(OFFSET($BH$3,0,0,'Données projet'!$E$11+1,1))-AVERAGE(OFFSET($H$3,0,0,'Données projet'!$E$11+1,1))</f>
        <v>299.54950406029354</v>
      </c>
      <c r="BJ52" s="62">
        <f t="shared" si="38"/>
        <v>208.26364698165739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57.295505022202882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4.6153846153846159</v>
      </c>
      <c r="BY52" s="13">
        <f>IF('Données projet'!$A$114&gt;35,BY51+BX52-CG51,IF(A52&lt;'Données projet'!$A$114,$BV$205^A52,IF(A52='Données projet'!$A$114,'Données projet'!$B$114,BY51+BX52-CG51)))</f>
        <v>144.74358974358972</v>
      </c>
      <c r="BZ52" s="14">
        <f>BY52*VLOOKUP('Données projet'!$B$12,Paramètres!$A$1:$I$89,3,0)*VLOOKUP('Données projet'!$B$12,Paramètres!$A$1:$I$89,5,0)</f>
        <v>155.80199999999996</v>
      </c>
      <c r="CA52" s="14">
        <f t="shared" si="39"/>
        <v>39.894184579215889</v>
      </c>
      <c r="CB52" s="22">
        <f t="shared" si="10"/>
        <v>340.83752147546761</v>
      </c>
      <c r="CC52" s="62">
        <f t="shared" si="11"/>
        <v>587.58770655687817</v>
      </c>
      <c r="CD52" s="62">
        <f ca="1">AVERAGE(OFFSET($CC$3,0,0,'Données projet'!$E$12+1,1))-AVERAGE(OFFSET($H$3,0,0,'Données projet'!$E$12+1,1))</f>
        <v>441.30518831297212</v>
      </c>
      <c r="CE52" s="62">
        <f t="shared" si="40"/>
        <v>270.42872405271851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57.295505022202882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5.4</v>
      </c>
      <c r="CT52" s="13">
        <f>IF('Données projet'!$A$140&gt;35,CT51+CS52-DB51,IF(A52&lt;'Données projet'!$A$140,$CQ$205^A52,IF(A52='Données projet'!$A$140,'Données projet'!$B$140,CT51+CS52-DB51)))</f>
        <v>168.59999999999994</v>
      </c>
      <c r="CU52" s="18">
        <f>CT52*VLOOKUP('Données projet'!$B$13,Paramètres!$A$1:$I$89,3,0)*VLOOKUP('Données projet'!$B$13,Paramètres!$A$1:$I$89,5,0)</f>
        <v>147.28895999999995</v>
      </c>
      <c r="CV52" s="14">
        <f t="shared" si="41"/>
        <v>37.961839593121908</v>
      </c>
      <c r="CW52" s="22">
        <f t="shared" si="13"/>
        <v>322.6451426246872</v>
      </c>
      <c r="CX52" s="62">
        <f t="shared" si="14"/>
        <v>569.39532770609776</v>
      </c>
      <c r="CY52" s="62">
        <f ca="1">AVERAGE(OFFSET($CX$3,0,0,'Données projet'!$E$13+1,1))-AVERAGE(OFFSET($H$3,0,0,'Données projet'!$E$13+1,1))</f>
        <v>310.81258463659196</v>
      </c>
      <c r="CZ52" s="62">
        <f t="shared" si="42"/>
        <v>287.31099756692083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57.295505022202882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4.6153846153846159</v>
      </c>
      <c r="DO52" s="13">
        <f>IF('Données projet'!$A$166&gt;35,DO51+DN52-DW51,IF(A52&lt;'Données projet'!$A$166,$DL$205^A52,IF(A52='Données projet'!$A$166,'Données projet'!$B$166,DO51+DN52-DW51)))</f>
        <v>144.74358974358972</v>
      </c>
      <c r="DP52" s="18">
        <f>DO52*VLOOKUP('Données projet'!$B$14,Paramètres!$A$1:$I$89,3,0)*VLOOKUP('Données projet'!$B$14,Paramètres!$A$1:$I$89,5,0)</f>
        <v>151.286</v>
      </c>
      <c r="DQ52" s="14">
        <f t="shared" si="43"/>
        <v>38.870688376168573</v>
      </c>
      <c r="DR52" s="22">
        <f t="shared" si="16"/>
        <v>331.18956558849356</v>
      </c>
      <c r="DS52" s="62">
        <f t="shared" si="17"/>
        <v>577.93975066990413</v>
      </c>
      <c r="DT52" s="62">
        <f ca="1">AVERAGE(OFFSET($DS$3,0,0,'Données projet'!$E$14+1,1))-AVERAGE(OFFSET($H$3,0,0,'Données projet'!$E$14+1,1))</f>
        <v>431.19274104373625</v>
      </c>
      <c r="DU52" s="62">
        <f t="shared" si="44"/>
        <v>264.67919175178133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57.295505022202882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11.615384615384608</v>
      </c>
      <c r="EJ52" s="13">
        <f>IF('Données projet'!$A$192&gt;35,EJ51+EI52-ER51,IF(A52&lt;'Données projet'!$A$192,$EG$205^A52,IF(A52='Données projet'!$A$192,'Données projet'!$B$192,EJ51+EI52-ER51)))</f>
        <v>298.60769230769216</v>
      </c>
      <c r="EK52" s="18">
        <f>EJ52*VLOOKUP('Données projet'!$B$15,Paramètres!$A$1:$I$89,3,0)*VLOOKUP('Données projet'!$B$15,Paramètres!$A$1:$I$89,5,0)</f>
        <v>139.74839999999992</v>
      </c>
      <c r="EL52" s="14">
        <f t="shared" si="45"/>
        <v>36.239361435480362</v>
      </c>
      <c r="EM52" s="22">
        <f t="shared" si="19"/>
        <v>306.51201783346147</v>
      </c>
      <c r="EN52" s="62">
        <f t="shared" si="20"/>
        <v>553.26220291487209</v>
      </c>
      <c r="EO52" s="62">
        <f ca="1">AVERAGE(OFFSET($EN$3,0,0,'Données projet'!$E$15+1,1))-AVERAGE(OFFSET($H$3,0,0,'Données projet'!$E$15+1,1))</f>
        <v>291.68530745507815</v>
      </c>
      <c r="EP52" s="62">
        <f t="shared" si="46"/>
        <v>175.95121106728979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57.295505022202882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5</v>
      </c>
      <c r="FE52" s="13">
        <f>IF('Données projet'!$A$218&gt;35,FE51+FD52-FM51,IF(A52&lt;'Données projet'!$A$218,$FB$205^A52,IF(A52='Données projet'!$A$218,'Données projet'!$B$218,FE51+FD52-FM51)))</f>
        <v>148.99999999999989</v>
      </c>
      <c r="FF52" s="18">
        <f>FE52*VLOOKUP('Données projet'!$B$16,Paramètres!$A$1:$I$89,3,0)*VLOOKUP('Données projet'!$B$16,Paramètres!$A$1:$I$89,5,0)</f>
        <v>97.624799999999922</v>
      </c>
      <c r="FG52" s="14">
        <f t="shared" si="47"/>
        <v>26.395349675372131</v>
      </c>
      <c r="FH52" s="22">
        <f t="shared" si="22"/>
        <v>216.00176068460632</v>
      </c>
      <c r="FI52" s="62">
        <f t="shared" si="23"/>
        <v>462.75194576601689</v>
      </c>
      <c r="FJ52" s="62">
        <f ca="1">AVERAGE(OFFSET($FI$3,0,0,'Données projet'!$E$16+1,1))-AVERAGE(OFFSET($H$3,0,0,'Données projet'!$E$16+1,1))</f>
        <v>248.75689726928428</v>
      </c>
      <c r="FK52" s="62">
        <f t="shared" si="48"/>
        <v>232.02291680388336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projet'!$B$16,Paramètres!$A$1:$I$89,3,0)*0.475*44/12</f>
        <v>0</v>
      </c>
      <c r="FR52" s="23">
        <f>EXP(-LN(2)/25)*FR51+(1-EXP(-LN(2)/25))/(LN(2)/25)*Calculateur!FM52*Calculateur!FO52*VLOOKUP('Données projet'!$B$16,Paramètres!$A$1:$I$89,3,0)*0.475*44/12</f>
        <v>0</v>
      </c>
      <c r="FS52" s="23">
        <f>EXP(-LN(2)/2)*FS51+(1-EXP(-LN(2)/2))/(LN(2)/2)*FM52*FP52*VLOOKUP('Données projet'!$B$16,Paramètres!$A$1:$I$89,3,0)*0.475*44/12</f>
        <v>0</v>
      </c>
      <c r="FT52" s="24">
        <f t="shared" si="24"/>
        <v>0</v>
      </c>
      <c r="FU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57.295505022202882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>
        <f>VLOOKUP(A52,'Données projet'!$A$243:$I$263,2,0)</f>
        <v>276</v>
      </c>
      <c r="FX52" s="13">
        <f>VLOOKUP(A52,'Données projet'!$A$243:$I$263,9,0)</f>
        <v>12.818181818181818</v>
      </c>
      <c r="FY52" s="13">
        <f t="array" ref="FY52">INDEX(FX:FX,MIN(IF(ISNUMBER(FX52:FX248),ROW(FX52:FX248),"")))</f>
        <v>12.818181818181818</v>
      </c>
      <c r="FZ52" s="13">
        <f>IF('Données projet'!$A$244&gt;35,FZ51+FY52-GH51,IF(A52&lt;'Données projet'!$A$244,$FW$205^A52,IF(A52='Données projet'!$A$244,'Données projet'!$B$244,FZ51+FY52-GH51)))</f>
        <v>275.99999999999989</v>
      </c>
      <c r="GA52" s="18">
        <f>FZ52*VLOOKUP('Données projet'!$B$17,Paramètres!$A$1:$I$89,3,0)*VLOOKUP('Données projet'!$B$17,Paramètres!$A$1:$I$89,5,0)</f>
        <v>165.04799999999994</v>
      </c>
      <c r="GB52" s="14">
        <f t="shared" si="49"/>
        <v>41.979039350635581</v>
      </c>
      <c r="GC52" s="22">
        <f t="shared" si="25"/>
        <v>360.57209353569016</v>
      </c>
      <c r="GD52" s="62">
        <f t="shared" si="26"/>
        <v>607.32227861710078</v>
      </c>
      <c r="GE52" s="62">
        <f ca="1">AVERAGE(OFFSET($GD$3,0,0,'Données projet'!$E$17+1,1))-AVERAGE(OFFSET($H$3,0,0,'Données projet'!$E$17+1,1))</f>
        <v>315.909549580511</v>
      </c>
      <c r="GF52" s="62">
        <f t="shared" si="50"/>
        <v>208.56856525402051</v>
      </c>
      <c r="GG52" s="16">
        <f>IF(ISNA(VLOOKUP(A52,'Données projet'!$A$243:$I$263,3,0)),0,VLOOKUP(A52,'Données projet'!$A$243:$I$263,3,0))</f>
        <v>3</v>
      </c>
      <c r="GH52" s="16">
        <f>IF(ISNA(VLOOKUP(A52,'Données projet'!$A$243:$I$263,4,0)),0,VLOOKUP(A52,'Données projet'!$A$243:$I$263,4,0))</f>
        <v>94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projet'!$B$17,Paramètres!$A$1:$I$89,3,0)*0.475*44/12</f>
        <v>0</v>
      </c>
      <c r="GM52" s="23">
        <f>EXP(-LN(2)/25)*GM51+(1-EXP(-LN(2)/25))/(LN(2)/25)*Calculateur!GH52*Calculateur!GJ52*VLOOKUP('Données projet'!$B$17,Paramètres!$A$1:$I$89,3,0)*0.475*44/12</f>
        <v>0</v>
      </c>
      <c r="GN52" s="23">
        <f>EXP(-LN(2)/2)*GN51+(1-EXP(-LN(2)/2))/(LN(2)/2)*GH52*GK52*VLOOKUP('Données projet'!$B$17,Paramètres!$A$1:$I$89,3,0)*0.475*44/12</f>
        <v>0</v>
      </c>
      <c r="GO52" s="23">
        <f t="shared" si="27"/>
        <v>0</v>
      </c>
      <c r="GP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57.295505022202882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4.487179487179489</v>
      </c>
      <c r="GU52" s="13">
        <f>IF('Données projet'!$A$270&gt;35,GU51+GT52-HC51,IF(A52&lt;'Données projet'!$A$270,$GR$205^A52,IF(A52='Données projet'!$A$270,'Données projet'!$B$270,GU51+GT52-HC51)))</f>
        <v>120.51282051282054</v>
      </c>
      <c r="GV52" s="18">
        <f>GU52*VLOOKUP('Données projet'!$B$18,Paramètres!$A$1:$I$89,3,0)*VLOOKUP('Données projet'!$B$18,Paramètres!$A$1:$I$89,5,0)</f>
        <v>80.840000000000018</v>
      </c>
      <c r="GW52" s="14">
        <f t="shared" si="51"/>
        <v>22.342443472896061</v>
      </c>
      <c r="GX52" s="22">
        <f t="shared" si="28"/>
        <v>179.70942238196071</v>
      </c>
      <c r="GY52" s="62">
        <f t="shared" si="29"/>
        <v>426.4596074633713</v>
      </c>
      <c r="GZ52" s="62">
        <f ca="1">AVERAGE(OFFSET($GY$3,0,0,'Données projet'!$E$18+1,1))-AVERAGE(OFFSET($H$3,0,0,'Données projet'!$E$18+1,1))</f>
        <v>254.35742752782755</v>
      </c>
      <c r="HA52" s="62">
        <f t="shared" si="52"/>
        <v>171.79611712137395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>
        <f>EXP(-LN(2)/35)*HG51+(1-EXP(-LN(2)/35))/(LN(2)/35)*HC52*HD52*VLOOKUP('Données projet'!$B$18,Paramètres!$A$1:$I$89,3,0)*0.475*44/12</f>
        <v>0</v>
      </c>
      <c r="HH52" s="23">
        <f>EXP(-LN(2)/25)*HH51+(1-EXP(-LN(2)/25))/(LN(2)/25)*Calculateur!HC52*Calculateur!HE52*VLOOKUP('Données projet'!$B$18,Paramètres!$A$1:$I$89,3,0)*0.475*44/12</f>
        <v>0</v>
      </c>
      <c r="HI52" s="23">
        <f>EXP(-LN(2)/2)*HI51+(1-EXP(-LN(2)/2))/(LN(2)/2)*HC52*HF52*VLOOKUP('Données projet'!$B$18,Paramètres!$A$1:$I$89,3,0)*0.475*44/12</f>
        <v>0</v>
      </c>
      <c r="HJ52" s="24">
        <f t="shared" si="30"/>
        <v>0</v>
      </c>
    </row>
    <row r="53" spans="1:218" s="5" customFormat="1" x14ac:dyDescent="0.3">
      <c r="A53" s="11">
        <f t="shared" si="31"/>
        <v>50</v>
      </c>
      <c r="B53" s="76">
        <f>'Scénario référence'!$B$16*5+'Scénario référence'!$B$17*0+'Scénario référence'!$B$18*5</f>
        <v>3.9405000000000001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14.448500000000001</v>
      </c>
      <c r="H53" s="69">
        <f t="shared" si="1"/>
        <v>161.30656666666667</v>
      </c>
      <c r="I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57.515899607071965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6.4759615384615365</v>
      </c>
      <c r="N53" s="14">
        <f>IF('Données projet'!$A$36&gt;35,N52+M53-V52,IF(A53&lt;'Données projet'!$A$36,$K$205^A53,IF(A53='Données projet'!$A$36,'Données projet'!$B$36,N52+M53-V52)))</f>
        <v>177.47884615384618</v>
      </c>
      <c r="O53" s="14">
        <f>N53*VLOOKUP('Données projet'!$B$9,Paramètres!$A$1:$I$89,3,0)*VLOOKUP('Données projet'!$B$9,Paramètres!$A$1:$I$89,5,0)</f>
        <v>103.82512500000003</v>
      </c>
      <c r="P53" s="14">
        <f t="shared" si="33"/>
        <v>27.871280419904867</v>
      </c>
      <c r="Q53" s="22">
        <f t="shared" si="53"/>
        <v>229.37123943966768</v>
      </c>
      <c r="R53" s="62">
        <f t="shared" si="0"/>
        <v>476.92953799893149</v>
      </c>
      <c r="S53" s="62">
        <f ca="1">AVERAGE(OFFSET($R$3,0,0,'Données projet'!$E$9+1,1))-AVERAGE(OFFSET($H$3,0,0,'Données projet'!$E$9+1,1))</f>
        <v>210.54472399593521</v>
      </c>
      <c r="T53" s="62">
        <f t="shared" si="34"/>
        <v>181.14158435194193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57.515899607071965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209.2</v>
      </c>
      <c r="AG53" s="13">
        <f>VLOOKUP(A53,'Données projet'!$A$61:$I$81,9,0)</f>
        <v>3.5</v>
      </c>
      <c r="AH53" s="13">
        <f t="array" ref="AH53">INDEX(AG:AG,MIN(IF(ISNUMBER(AG53:AG249),ROW(AG53:AG249),"")))</f>
        <v>3.5</v>
      </c>
      <c r="AI53" s="14">
        <f>IF('Données projet'!$A$62&gt;35,AI52+AH53-AQ52,IF(A53&lt;'Données projet'!$A$62,$AF$205^A53,IF(A53='Données projet'!$A$62,'Données projet'!$B$62,AI52+AH53-AQ52)))</f>
        <v>209.2000000000001</v>
      </c>
      <c r="AJ53" s="14">
        <f>AI53*VLOOKUP('Données projet'!$B$10,Paramètres!$A$1:$I$89,3,0)*VLOOKUP('Données projet'!$B$10,Paramètres!$A$1:$I$89,5,0)</f>
        <v>108.78400000000006</v>
      </c>
      <c r="AK53" s="14">
        <f t="shared" si="35"/>
        <v>29.044300399150487</v>
      </c>
      <c r="AL53" s="22">
        <f t="shared" si="4"/>
        <v>240.05095652852057</v>
      </c>
      <c r="AM53" s="62">
        <f t="shared" si="5"/>
        <v>487.60925508778439</v>
      </c>
      <c r="AN53" s="62">
        <f ca="1">AVERAGE(OFFSET($AM$3,0,0,'Données projet'!$E$10+1,1))-AVERAGE(OFFSET($H$3,0,0,'Données projet'!$E$10+1,1))</f>
        <v>289.05608923588198</v>
      </c>
      <c r="AO53" s="62">
        <f t="shared" si="36"/>
        <v>220.06639020312738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57.515899607071965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74.387500000000003</v>
      </c>
      <c r="BB53" s="13">
        <f>VLOOKUP(A53,'Données projet'!$A$87:$I$107,9,0)</f>
        <v>1.8720833333333331</v>
      </c>
      <c r="BC53" s="13">
        <f t="array" ref="BC53">INDEX(BB:BB,MIN(IF(ISNUMBER(BB53:BB249),ROW(BB53:BB249),"")))</f>
        <v>1.8720833333333331</v>
      </c>
      <c r="BD53" s="13">
        <f>IF('Données projet'!$A$88&gt;35,BD52+BC53-BL52,IF(A53&lt;'Données projet'!$A$88,$BA$205^A53,IF(A53='Données projet'!$A$88,'Données projet'!$B$88,BD52+BC53-BL52)))</f>
        <v>74.387500000000031</v>
      </c>
      <c r="BE53" s="14">
        <f>BD53*VLOOKUP('Données projet'!$B$11,Paramètres!$A$1:$I$89,3,0)*VLOOKUP('Données projet'!$B$11,Paramètres!$A$1:$I$89,5,0)</f>
        <v>85.694400000000016</v>
      </c>
      <c r="BF53" s="14">
        <f t="shared" si="37"/>
        <v>23.523873913177109</v>
      </c>
      <c r="BG53" s="22">
        <f t="shared" si="7"/>
        <v>190.22182706545016</v>
      </c>
      <c r="BH53" s="62">
        <f t="shared" si="8"/>
        <v>437.78012562471395</v>
      </c>
      <c r="BI53" s="62">
        <f ca="1">AVERAGE(OFFSET($BH$3,0,0,'Données projet'!$E$11+1,1))-AVERAGE(OFFSET($H$3,0,0,'Données projet'!$E$11+1,1))</f>
        <v>299.54950406029354</v>
      </c>
      <c r="BJ53" s="62">
        <f t="shared" si="38"/>
        <v>208.26364698165739</v>
      </c>
      <c r="BK53" s="16">
        <f>IF(ISNA(VLOOKUP(A53,'Données projet'!$A$87:$I$107,3,0)),0,VLOOKUP(A53,'Données projet'!$A$87:$I$107,3,0))</f>
        <v>3</v>
      </c>
      <c r="BL53" s="16">
        <f>IF(ISNA(VLOOKUP(A53,'Données projet'!$A$87:$I$107,4,0)),0,VLOOKUP(A53,'Données projet'!$A$87:$I$107,4,0))</f>
        <v>7.7500000000000009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57.515899607071965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149.35897435897436</v>
      </c>
      <c r="BW53" s="13">
        <f>VLOOKUP(A53,'Données projet'!$A$113:$I$133,9,0)</f>
        <v>4.6153846153846159</v>
      </c>
      <c r="BX53" s="13">
        <f t="array" ref="BX53">INDEX(BW:BW,MIN(IF(ISNUMBER(BW53:BW249),ROW(BW53:BW249),"")))</f>
        <v>4.6153846153846159</v>
      </c>
      <c r="BY53" s="13">
        <f>IF('Données projet'!$A$114&gt;35,BY52+BX53-CG52,IF(A53&lt;'Données projet'!$A$114,$BV$205^A53,IF(A53='Données projet'!$A$114,'Données projet'!$B$114,BY52+BX53-CG52)))</f>
        <v>149.35897435897434</v>
      </c>
      <c r="BZ53" s="14">
        <f>BY53*VLOOKUP('Données projet'!$B$12,Paramètres!$A$1:$I$89,3,0)*VLOOKUP('Données projet'!$B$12,Paramètres!$A$1:$I$89,5,0)</f>
        <v>160.76999999999995</v>
      </c>
      <c r="CA53" s="14">
        <f t="shared" si="39"/>
        <v>41.016142498539807</v>
      </c>
      <c r="CB53" s="22">
        <f t="shared" si="10"/>
        <v>351.44419818495675</v>
      </c>
      <c r="CC53" s="62">
        <f t="shared" si="11"/>
        <v>599.00249674422059</v>
      </c>
      <c r="CD53" s="62">
        <f ca="1">AVERAGE(OFFSET($CC$3,0,0,'Données projet'!$E$12+1,1))-AVERAGE(OFFSET($H$3,0,0,'Données projet'!$E$12+1,1))</f>
        <v>441.30518831297212</v>
      </c>
      <c r="CE53" s="62">
        <f t="shared" si="40"/>
        <v>270.42872405271851</v>
      </c>
      <c r="CF53" s="16">
        <f>IF(ISNA(VLOOKUP(A53,'Données projet'!$A$113:$I$133,3,0)),0,VLOOKUP(A53,'Données projet'!$A$113:$I$133,3,0))</f>
        <v>3</v>
      </c>
      <c r="CG53" s="16">
        <f>IF(ISNA(VLOOKUP(A53,'Données projet'!$A$113:$I$133,4,0)),0,VLOOKUP(A53,'Données projet'!$A$113:$I$133,4,0))</f>
        <v>18.589743589743588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57.515899607071965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174</v>
      </c>
      <c r="CR53" s="13">
        <f>VLOOKUP(A53,'Données projet'!$A$139:$I$159,9,0)</f>
        <v>5.4</v>
      </c>
      <c r="CS53" s="13">
        <f t="array" ref="CS53">INDEX(CR:CR,MIN(IF(ISNUMBER(CR53:CR249),ROW(CR53:CR249),"")))</f>
        <v>5.4</v>
      </c>
      <c r="CT53" s="13">
        <f>IF('Données projet'!$A$140&gt;35,CT52+CS53-DB52,IF(A53&lt;'Données projet'!$A$140,$CQ$205^A53,IF(A53='Données projet'!$A$140,'Données projet'!$B$140,CT52+CS53-DB52)))</f>
        <v>173.99999999999994</v>
      </c>
      <c r="CU53" s="18">
        <f>CT53*VLOOKUP('Données projet'!$B$13,Paramètres!$A$1:$I$89,3,0)*VLOOKUP('Données projet'!$B$13,Paramètres!$A$1:$I$89,5,0)</f>
        <v>152.00639999999999</v>
      </c>
      <c r="CV53" s="14">
        <f t="shared" si="41"/>
        <v>39.03419401656145</v>
      </c>
      <c r="CW53" s="22">
        <f t="shared" si="13"/>
        <v>332.72903457884451</v>
      </c>
      <c r="CX53" s="62">
        <f t="shared" si="14"/>
        <v>580.28733313810835</v>
      </c>
      <c r="CY53" s="62">
        <f ca="1">AVERAGE(OFFSET($CX$3,0,0,'Données projet'!$E$13+1,1))-AVERAGE(OFFSET($H$3,0,0,'Données projet'!$E$13+1,1))</f>
        <v>310.81258463659196</v>
      </c>
      <c r="CZ53" s="62">
        <f t="shared" si="42"/>
        <v>287.31099756692083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57.515899607071965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149.35897435897436</v>
      </c>
      <c r="DM53" s="13">
        <f>VLOOKUP(A53,'Données projet'!$A$165:$I$185,9,0)</f>
        <v>4.6153846153846159</v>
      </c>
      <c r="DN53" s="13">
        <f t="array" ref="DN53">INDEX(DM:DM,MIN(IF(ISNUMBER(DM53:DM249),ROW(DM53:DM249),"")))</f>
        <v>4.6153846153846159</v>
      </c>
      <c r="DO53" s="13">
        <f>IF('Données projet'!$A$166&gt;35,DO52+DN53-DW52,IF(A53&lt;'Données projet'!$A$166,$DL$205^A53,IF(A53='Données projet'!$A$166,'Données projet'!$B$166,DO52+DN53-DW52)))</f>
        <v>149.35897435897434</v>
      </c>
      <c r="DP53" s="18">
        <f>DO53*VLOOKUP('Données projet'!$B$14,Paramètres!$A$1:$I$89,3,0)*VLOOKUP('Données projet'!$B$14,Paramètres!$A$1:$I$89,5,0)</f>
        <v>156.11000000000001</v>
      </c>
      <c r="DQ53" s="14">
        <f t="shared" si="43"/>
        <v>39.963862158593372</v>
      </c>
      <c r="DR53" s="22">
        <f t="shared" si="16"/>
        <v>341.49530992621681</v>
      </c>
      <c r="DS53" s="62">
        <f t="shared" si="17"/>
        <v>589.05360848548059</v>
      </c>
      <c r="DT53" s="62">
        <f ca="1">AVERAGE(OFFSET($DS$3,0,0,'Données projet'!$E$14+1,1))-AVERAGE(OFFSET($H$3,0,0,'Données projet'!$E$14+1,1))</f>
        <v>431.19274104373625</v>
      </c>
      <c r="DU53" s="62">
        <f t="shared" si="44"/>
        <v>264.67919175178133</v>
      </c>
      <c r="DV53" s="16">
        <f>IF(ISNA(VLOOKUP(A53,'Données projet'!$A$165:$I$185,3,0)),0,VLOOKUP(A53,'Données projet'!$A$165:$I$185,3,0))</f>
        <v>3</v>
      </c>
      <c r="DW53" s="16">
        <f>IF(ISNA(VLOOKUP(A53,'Données projet'!$A$165:$I$185,4,0)),0,VLOOKUP(A53,'Données projet'!$A$165:$I$185,4,0))</f>
        <v>18.589743589743588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57.515899607071965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11.615384615384608</v>
      </c>
      <c r="EJ53" s="13">
        <f>IF('Données projet'!$A$192&gt;35,EJ52+EI53-ER52,IF(A53&lt;'Données projet'!$A$192,$EG$205^A53,IF(A53='Données projet'!$A$192,'Données projet'!$B$192,EJ52+EI53-ER52)))</f>
        <v>310.22307692307675</v>
      </c>
      <c r="EK53" s="18">
        <f>EJ53*VLOOKUP('Données projet'!$B$15,Paramètres!$A$1:$I$89,3,0)*VLOOKUP('Données projet'!$B$15,Paramètres!$A$1:$I$89,5,0)</f>
        <v>145.18439999999993</v>
      </c>
      <c r="EL53" s="14">
        <f t="shared" si="45"/>
        <v>37.482153624096057</v>
      </c>
      <c r="EM53" s="22">
        <f t="shared" si="19"/>
        <v>318.14424756196712</v>
      </c>
      <c r="EN53" s="62">
        <f t="shared" si="20"/>
        <v>565.70254612123097</v>
      </c>
      <c r="EO53" s="62">
        <f ca="1">AVERAGE(OFFSET($EN$3,0,0,'Données projet'!$E$15+1,1))-AVERAGE(OFFSET($H$3,0,0,'Données projet'!$E$15+1,1))</f>
        <v>291.68530745507815</v>
      </c>
      <c r="EP53" s="62">
        <f t="shared" si="46"/>
        <v>175.95121106728979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57.515899607071965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>
        <f>VLOOKUP(A53,'Données projet'!$A$217:$I$237,2,0)</f>
        <v>154</v>
      </c>
      <c r="FC53" s="13">
        <f>VLOOKUP(A53,'Données projet'!$A$217:$I$237,9,0)</f>
        <v>5</v>
      </c>
      <c r="FD53" s="13">
        <f t="array" ref="FD53">INDEX(FC:FC,MIN(IF(ISNUMBER(FC53:FC249),ROW(FC53:FC249),"")))</f>
        <v>5</v>
      </c>
      <c r="FE53" s="13">
        <f>IF('Données projet'!$A$218&gt;35,FE52+FD53-FM52,IF(A53&lt;'Données projet'!$A$218,$FB$205^A53,IF(A53='Données projet'!$A$218,'Données projet'!$B$218,FE52+FD53-FM52)))</f>
        <v>153.99999999999989</v>
      </c>
      <c r="FF53" s="18">
        <f>FE53*VLOOKUP('Données projet'!$B$16,Paramètres!$A$1:$I$89,3,0)*VLOOKUP('Données projet'!$B$16,Paramètres!$A$1:$I$89,5,0)</f>
        <v>100.90079999999992</v>
      </c>
      <c r="FG53" s="14">
        <f t="shared" si="47"/>
        <v>27.176488592921515</v>
      </c>
      <c r="FH53" s="22">
        <f t="shared" si="22"/>
        <v>223.06794429933814</v>
      </c>
      <c r="FI53" s="62">
        <f t="shared" si="23"/>
        <v>470.62624285860193</v>
      </c>
      <c r="FJ53" s="62">
        <f ca="1">AVERAGE(OFFSET($FI$3,0,0,'Données projet'!$E$16+1,1))-AVERAGE(OFFSET($H$3,0,0,'Données projet'!$E$16+1,1))</f>
        <v>248.75689726928428</v>
      </c>
      <c r="FK53" s="62">
        <f t="shared" si="48"/>
        <v>232.02291680388336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projet'!$B$16,Paramètres!$A$1:$I$89,3,0)*0.475*44/12</f>
        <v>0</v>
      </c>
      <c r="FR53" s="23">
        <f>EXP(-LN(2)/25)*FR52+(1-EXP(-LN(2)/25))/(LN(2)/25)*Calculateur!FM53*Calculateur!FO53*VLOOKUP('Données projet'!$B$16,Paramètres!$A$1:$I$89,3,0)*0.475*44/12</f>
        <v>0</v>
      </c>
      <c r="FS53" s="23">
        <f>EXP(-LN(2)/2)*FS52+(1-EXP(-LN(2)/2))/(LN(2)/2)*FM53*FP53*VLOOKUP('Données projet'!$B$16,Paramètres!$A$1:$I$89,3,0)*0.475*44/12</f>
        <v>0</v>
      </c>
      <c r="FT53" s="24">
        <f t="shared" si="24"/>
        <v>0</v>
      </c>
      <c r="FU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57.515899607071965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15.75</v>
      </c>
      <c r="FZ53" s="13">
        <f>IF('Données projet'!$A$244&gt;35,FZ52+FY53-GH52,IF(A53&lt;'Données projet'!$A$244,$FW$205^A53,IF(A53='Données projet'!$A$244,'Données projet'!$B$244,FZ52+FY53-GH52)))</f>
        <v>197.74999999999989</v>
      </c>
      <c r="GA53" s="18">
        <f>FZ53*VLOOKUP('Données projet'!$B$17,Paramètres!$A$1:$I$89,3,0)*VLOOKUP('Données projet'!$B$17,Paramètres!$A$1:$I$89,5,0)</f>
        <v>118.25449999999994</v>
      </c>
      <c r="GB53" s="14">
        <f t="shared" si="49"/>
        <v>31.267543558009152</v>
      </c>
      <c r="GC53" s="22">
        <f t="shared" si="25"/>
        <v>260.41755919686585</v>
      </c>
      <c r="GD53" s="62">
        <f t="shared" si="26"/>
        <v>507.9758577561297</v>
      </c>
      <c r="GE53" s="62">
        <f ca="1">AVERAGE(OFFSET($GD$3,0,0,'Données projet'!$E$17+1,1))-AVERAGE(OFFSET($H$3,0,0,'Données projet'!$E$17+1,1))</f>
        <v>315.909549580511</v>
      </c>
      <c r="GF53" s="62">
        <f t="shared" si="50"/>
        <v>208.56856525402051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>
        <f>EXP(-LN(2)/35)*GL52+(1-EXP(-LN(2)/35))/(LN(2)/35)*GH53*GI53*VLOOKUP('Données projet'!$B$17,Paramètres!$A$1:$I$89,3,0)*0.475*44/12</f>
        <v>0</v>
      </c>
      <c r="GM53" s="23">
        <f>EXP(-LN(2)/25)*GM52+(1-EXP(-LN(2)/25))/(LN(2)/25)*Calculateur!GH53*Calculateur!GJ53*VLOOKUP('Données projet'!$B$17,Paramètres!$A$1:$I$89,3,0)*0.475*44/12</f>
        <v>0</v>
      </c>
      <c r="GN53" s="23">
        <f>EXP(-LN(2)/2)*GN52+(1-EXP(-LN(2)/2))/(LN(2)/2)*GH53*GK53*VLOOKUP('Données projet'!$B$17,Paramètres!$A$1:$I$89,3,0)*0.475*44/12</f>
        <v>0</v>
      </c>
      <c r="GO53" s="23">
        <f t="shared" si="27"/>
        <v>0</v>
      </c>
      <c r="GP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57.515899607071965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>
        <f>VLOOKUP(A53,'Données projet'!$A$269:$I$289,2,0)</f>
        <v>125</v>
      </c>
      <c r="GS53" s="13">
        <f>VLOOKUP(A53,'Données projet'!$A$269:$I$289,9,0)</f>
        <v>4.487179487179489</v>
      </c>
      <c r="GT53" s="13">
        <f t="array" ref="GT53">INDEX(GS:GS,MIN(IF(ISNUMBER(GS53:GS249),ROW(GS53:GS249),"")))</f>
        <v>4.487179487179489</v>
      </c>
      <c r="GU53" s="13">
        <f>IF('Données projet'!$A$270&gt;35,GU52+GT53-HC52,IF(A53&lt;'Données projet'!$A$270,$GR$205^A53,IF(A53='Données projet'!$A$270,'Données projet'!$B$270,GU52+GT53-HC52)))</f>
        <v>125.00000000000003</v>
      </c>
      <c r="GV53" s="18">
        <f>GU53*VLOOKUP('Données projet'!$B$18,Paramètres!$A$1:$I$89,3,0)*VLOOKUP('Données projet'!$B$18,Paramètres!$A$1:$I$89,5,0)</f>
        <v>83.850000000000023</v>
      </c>
      <c r="GW53" s="14">
        <f t="shared" si="51"/>
        <v>23.075938604999987</v>
      </c>
      <c r="GX53" s="22">
        <f t="shared" si="28"/>
        <v>186.22934307037499</v>
      </c>
      <c r="GY53" s="62">
        <f t="shared" si="29"/>
        <v>433.78764162963881</v>
      </c>
      <c r="GZ53" s="62">
        <f ca="1">AVERAGE(OFFSET($GY$3,0,0,'Données projet'!$E$18+1,1))-AVERAGE(OFFSET($H$3,0,0,'Données projet'!$E$18+1,1))</f>
        <v>254.35742752782755</v>
      </c>
      <c r="HA53" s="62">
        <f t="shared" si="52"/>
        <v>171.79611712137395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>
        <f>EXP(-LN(2)/35)*HG52+(1-EXP(-LN(2)/35))/(LN(2)/35)*HC53*HD53*VLOOKUP('Données projet'!$B$18,Paramètres!$A$1:$I$89,3,0)*0.475*44/12</f>
        <v>0</v>
      </c>
      <c r="HH53" s="23">
        <f>EXP(-LN(2)/25)*HH52+(1-EXP(-LN(2)/25))/(LN(2)/25)*Calculateur!HC53*Calculateur!HE53*VLOOKUP('Données projet'!$B$18,Paramètres!$A$1:$I$89,3,0)*0.475*44/12</f>
        <v>0</v>
      </c>
      <c r="HI53" s="23">
        <f>EXP(-LN(2)/2)*HI52+(1-EXP(-LN(2)/2))/(LN(2)/2)*HC53*HF53*VLOOKUP('Données projet'!$B$18,Paramètres!$A$1:$I$89,3,0)*0.475*44/12</f>
        <v>0</v>
      </c>
      <c r="HJ53" s="24">
        <f t="shared" si="30"/>
        <v>0</v>
      </c>
    </row>
    <row r="54" spans="1:218" s="5" customFormat="1" x14ac:dyDescent="0.3">
      <c r="A54" s="11">
        <f t="shared" si="31"/>
        <v>51</v>
      </c>
      <c r="B54" s="76">
        <f>'Scénario référence'!$B$16*5+'Scénario référence'!$B$17*0+'Scénario référence'!$B$18*5</f>
        <v>3.9405000000000001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14.448500000000001</v>
      </c>
      <c r="H54" s="69">
        <f t="shared" si="1"/>
        <v>161.30656666666667</v>
      </c>
      <c r="I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57.732470838622049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6.4759615384615365</v>
      </c>
      <c r="N54" s="14">
        <f>IF('Données projet'!$A$36&gt;35,N53+M54-V53,IF(A54&lt;'Données projet'!$A$36,$K$205^A54,IF(A54='Données projet'!$A$36,'Données projet'!$B$36,N53+M54-V53)))</f>
        <v>183.95480769230772</v>
      </c>
      <c r="O54" s="14">
        <f>N54*VLOOKUP('Données projet'!$B$9,Paramètres!$A$1:$I$89,3,0)*VLOOKUP('Données projet'!$B$9,Paramètres!$A$1:$I$89,5,0)</f>
        <v>107.61356250000003</v>
      </c>
      <c r="P54" s="14">
        <f t="shared" si="33"/>
        <v>28.768005548276541</v>
      </c>
      <c r="Q54" s="22">
        <f t="shared" si="53"/>
        <v>237.53123101741502</v>
      </c>
      <c r="R54" s="62">
        <f t="shared" si="0"/>
        <v>485.88362409236254</v>
      </c>
      <c r="S54" s="62">
        <f ca="1">AVERAGE(OFFSET($R$3,0,0,'Données projet'!$E$9+1,1))-AVERAGE(OFFSET($H$3,0,0,'Données projet'!$E$9+1,1))</f>
        <v>210.54472399593521</v>
      </c>
      <c r="T54" s="62">
        <f t="shared" si="34"/>
        <v>181.14158435194193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57.732470838622049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3.2600000000000025</v>
      </c>
      <c r="AI54" s="14">
        <f>IF('Données projet'!$A$62&gt;35,AI53+AH54-AQ53,IF(A54&lt;'Données projet'!$A$62,$AF$205^A54,IF(A54='Données projet'!$A$62,'Données projet'!$B$62,AI53+AH54-AQ53)))</f>
        <v>212.46000000000009</v>
      </c>
      <c r="AJ54" s="14">
        <f>AI54*VLOOKUP('Données projet'!$B$10,Paramètres!$A$1:$I$89,3,0)*VLOOKUP('Données projet'!$B$10,Paramètres!$A$1:$I$89,5,0)</f>
        <v>110.47920000000005</v>
      </c>
      <c r="AK54" s="14">
        <f t="shared" si="35"/>
        <v>29.443859250947572</v>
      </c>
      <c r="AL54" s="22">
        <f t="shared" si="4"/>
        <v>243.69932819540043</v>
      </c>
      <c r="AM54" s="62">
        <f t="shared" si="5"/>
        <v>492.05172127034791</v>
      </c>
      <c r="AN54" s="62">
        <f ca="1">AVERAGE(OFFSET($AM$3,0,0,'Données projet'!$E$10+1,1))-AVERAGE(OFFSET($H$3,0,0,'Données projet'!$E$10+1,1))</f>
        <v>289.05608923588198</v>
      </c>
      <c r="AO54" s="62">
        <f t="shared" si="36"/>
        <v>220.06639020312738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57.732470838622049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1.7724999999999995</v>
      </c>
      <c r="BD54" s="13">
        <f>IF('Données projet'!$A$88&gt;35,BD53+BC54-BL53,IF(A54&lt;'Données projet'!$A$88,$BA$205^A54,IF(A54='Données projet'!$A$88,'Données projet'!$B$88,BD53+BC54-BL53)))</f>
        <v>68.410000000000025</v>
      </c>
      <c r="BE54" s="14">
        <f>BD54*VLOOKUP('Données projet'!$B$11,Paramètres!$A$1:$I$89,3,0)*VLOOKUP('Données projet'!$B$11,Paramètres!$A$1:$I$89,5,0)</f>
        <v>78.808320000000023</v>
      </c>
      <c r="BF54" s="14">
        <f t="shared" si="37"/>
        <v>21.845558157973084</v>
      </c>
      <c r="BG54" s="22">
        <f t="shared" si="7"/>
        <v>175.30550445846984</v>
      </c>
      <c r="BH54" s="62">
        <f t="shared" si="8"/>
        <v>423.65789753341733</v>
      </c>
      <c r="BI54" s="62">
        <f ca="1">AVERAGE(OFFSET($BH$3,0,0,'Données projet'!$E$11+1,1))-AVERAGE(OFFSET($H$3,0,0,'Données projet'!$E$11+1,1))</f>
        <v>299.54950406029354</v>
      </c>
      <c r="BJ54" s="62">
        <f t="shared" si="38"/>
        <v>208.26364698165739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57.732470838622049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4.4871794871794863</v>
      </c>
      <c r="BY54" s="13">
        <f>IF('Données projet'!$A$114&gt;35,BY53+BX54-CG53,IF(A54&lt;'Données projet'!$A$114,$BV$205^A54,IF(A54='Données projet'!$A$114,'Données projet'!$B$114,BY53+BX54-CG53)))</f>
        <v>135.25641025641022</v>
      </c>
      <c r="BZ54" s="14">
        <f>BY54*VLOOKUP('Données projet'!$B$12,Paramètres!$A$1:$I$89,3,0)*VLOOKUP('Données projet'!$B$12,Paramètres!$A$1:$I$89,5,0)</f>
        <v>145.58999999999995</v>
      </c>
      <c r="CA54" s="14">
        <f t="shared" si="39"/>
        <v>37.574663413054601</v>
      </c>
      <c r="CB54" s="22">
        <f t="shared" si="10"/>
        <v>319.01178877773668</v>
      </c>
      <c r="CC54" s="62">
        <f t="shared" si="11"/>
        <v>567.36418185268417</v>
      </c>
      <c r="CD54" s="62">
        <f ca="1">AVERAGE(OFFSET($CC$3,0,0,'Données projet'!$E$12+1,1))-AVERAGE(OFFSET($H$3,0,0,'Données projet'!$E$12+1,1))</f>
        <v>441.30518831297212</v>
      </c>
      <c r="CE54" s="62">
        <f t="shared" si="40"/>
        <v>270.42872405271851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57.732470838622049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4.8</v>
      </c>
      <c r="CT54" s="13">
        <f>IF('Données projet'!$A$140&gt;35,CT53+CS54-DB53,IF(A54&lt;'Données projet'!$A$140,$CQ$205^A54,IF(A54='Données projet'!$A$140,'Données projet'!$B$140,CT53+CS54-DB53)))</f>
        <v>178.79999999999995</v>
      </c>
      <c r="CU54" s="18">
        <f>CT54*VLOOKUP('Données projet'!$B$13,Paramètres!$A$1:$I$89,3,0)*VLOOKUP('Données projet'!$B$13,Paramètres!$A$1:$I$89,5,0)</f>
        <v>156.19967999999997</v>
      </c>
      <c r="CV54" s="14">
        <f t="shared" si="41"/>
        <v>39.984147088814133</v>
      </c>
      <c r="CW54" s="22">
        <f t="shared" si="13"/>
        <v>341.68683217968459</v>
      </c>
      <c r="CX54" s="62">
        <f t="shared" si="14"/>
        <v>590.03922525463213</v>
      </c>
      <c r="CY54" s="62">
        <f ca="1">AVERAGE(OFFSET($CX$3,0,0,'Données projet'!$E$13+1,1))-AVERAGE(OFFSET($H$3,0,0,'Données projet'!$E$13+1,1))</f>
        <v>310.81258463659196</v>
      </c>
      <c r="CZ54" s="62">
        <f t="shared" si="42"/>
        <v>287.31099756692083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57.732470838622049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4.4871794871794863</v>
      </c>
      <c r="DO54" s="13">
        <f>IF('Données projet'!$A$166&gt;35,DO53+DN54-DW53,IF(A54&lt;'Données projet'!$A$166,$DL$205^A54,IF(A54='Données projet'!$A$166,'Données projet'!$B$166,DO53+DN54-DW53)))</f>
        <v>135.25641025641022</v>
      </c>
      <c r="DP54" s="18">
        <f>DO54*VLOOKUP('Données projet'!$B$14,Paramètres!$A$1:$I$89,3,0)*VLOOKUP('Données projet'!$B$14,Paramètres!$A$1:$I$89,5,0)</f>
        <v>141.36999999999998</v>
      </c>
      <c r="DQ54" s="14">
        <f t="shared" si="43"/>
        <v>36.610675159135589</v>
      </c>
      <c r="DR54" s="22">
        <f t="shared" si="16"/>
        <v>309.98300923549442</v>
      </c>
      <c r="DS54" s="62">
        <f t="shared" si="17"/>
        <v>558.33540231044196</v>
      </c>
      <c r="DT54" s="62">
        <f ca="1">AVERAGE(OFFSET($DS$3,0,0,'Données projet'!$E$14+1,1))-AVERAGE(OFFSET($H$3,0,0,'Données projet'!$E$14+1,1))</f>
        <v>431.19274104373625</v>
      </c>
      <c r="DU54" s="62">
        <f t="shared" si="44"/>
        <v>264.67919175178133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57.732470838622049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>
        <f>VLOOKUP(A54,'Données projet'!$A$191:$I$211,2,0)</f>
        <v>321.8384615384615</v>
      </c>
      <c r="EH54" s="13">
        <f>VLOOKUP(A54,'Données projet'!$A$191:$I$211,9,0)</f>
        <v>11.615384615384608</v>
      </c>
      <c r="EI54" s="13">
        <f t="array" ref="EI54">INDEX(EH:EH,MIN(IF(ISNUMBER(EH54:EH250),ROW(EH54:EH250),"")))</f>
        <v>11.615384615384608</v>
      </c>
      <c r="EJ54" s="13">
        <f>IF('Données projet'!$A$192&gt;35,EJ53+EI54-ER53,IF(A54&lt;'Données projet'!$A$192,$EG$205^A54,IF(A54='Données projet'!$A$192,'Données projet'!$B$192,EJ53+EI54-ER53)))</f>
        <v>321.83846153846133</v>
      </c>
      <c r="EK54" s="18">
        <f>EJ54*VLOOKUP('Données projet'!$B$15,Paramètres!$A$1:$I$89,3,0)*VLOOKUP('Données projet'!$B$15,Paramètres!$A$1:$I$89,5,0)</f>
        <v>150.6203999999999</v>
      </c>
      <c r="EL54" s="14">
        <f t="shared" si="45"/>
        <v>38.719539861211025</v>
      </c>
      <c r="EM54" s="22">
        <f t="shared" si="19"/>
        <v>329.76706192494237</v>
      </c>
      <c r="EN54" s="62">
        <f t="shared" si="20"/>
        <v>578.11945499988985</v>
      </c>
      <c r="EO54" s="62">
        <f ca="1">AVERAGE(OFFSET($EN$3,0,0,'Données projet'!$E$15+1,1))-AVERAGE(OFFSET($H$3,0,0,'Données projet'!$E$15+1,1))</f>
        <v>291.68530745507815</v>
      </c>
      <c r="EP54" s="62">
        <f t="shared" si="46"/>
        <v>175.95121106728979</v>
      </c>
      <c r="EQ54" s="16">
        <f>IF(ISNA(VLOOKUP(A54,'Données projet'!$A$191:$I$211,3,0)),0,VLOOKUP(A54,'Données projet'!$A$191:$I$211,3,0))</f>
        <v>1</v>
      </c>
      <c r="ER54" s="16">
        <f>IF(ISNA(VLOOKUP(A54,'Données projet'!$A$191:$I$211,4,0)),0,VLOOKUP(A54,'Données projet'!$A$191:$I$211,4,0))</f>
        <v>100.30769230769231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0</v>
      </c>
      <c r="EZ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57.732470838622049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4.5999999999999996</v>
      </c>
      <c r="FE54" s="13">
        <f>IF('Données projet'!$A$218&gt;35,FE53+FD54-FM53,IF(A54&lt;'Données projet'!$A$218,$FB$205^A54,IF(A54='Données projet'!$A$218,'Données projet'!$B$218,FE53+FD54-FM53)))</f>
        <v>158.59999999999988</v>
      </c>
      <c r="FF54" s="18">
        <f>FE54*VLOOKUP('Données projet'!$B$16,Paramètres!$A$1:$I$89,3,0)*VLOOKUP('Données projet'!$B$16,Paramètres!$A$1:$I$89,5,0)</f>
        <v>103.91471999999993</v>
      </c>
      <c r="FG54" s="14">
        <f t="shared" si="47"/>
        <v>27.892531065771788</v>
      </c>
      <c r="FH54" s="22">
        <f t="shared" si="22"/>
        <v>229.56429560621905</v>
      </c>
      <c r="FI54" s="62">
        <f t="shared" si="23"/>
        <v>477.91668868116653</v>
      </c>
      <c r="FJ54" s="62">
        <f ca="1">AVERAGE(OFFSET($FI$3,0,0,'Données projet'!$E$16+1,1))-AVERAGE(OFFSET($H$3,0,0,'Données projet'!$E$16+1,1))</f>
        <v>248.75689726928428</v>
      </c>
      <c r="FK54" s="62">
        <f t="shared" si="48"/>
        <v>232.02291680388336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projet'!$B$16,Paramètres!$A$1:$I$89,3,0)*0.475*44/12</f>
        <v>0</v>
      </c>
      <c r="FR54" s="23">
        <f>EXP(-LN(2)/25)*FR53+(1-EXP(-LN(2)/25))/(LN(2)/25)*Calculateur!FM54*Calculateur!FO54*VLOOKUP('Données projet'!$B$16,Paramètres!$A$1:$I$89,3,0)*0.475*44/12</f>
        <v>0</v>
      </c>
      <c r="FS54" s="23">
        <f>EXP(-LN(2)/2)*FS53+(1-EXP(-LN(2)/2))/(LN(2)/2)*FM54*FP54*VLOOKUP('Données projet'!$B$16,Paramètres!$A$1:$I$89,3,0)*0.475*44/12</f>
        <v>0</v>
      </c>
      <c r="FT54" s="24">
        <f t="shared" si="24"/>
        <v>0</v>
      </c>
      <c r="FU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57.732470838622049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15.75</v>
      </c>
      <c r="FZ54" s="13">
        <f>IF('Données projet'!$A$244&gt;35,FZ53+FY54-GH53,IF(A54&lt;'Données projet'!$A$244,$FW$205^A54,IF(A54='Données projet'!$A$244,'Données projet'!$B$244,FZ53+FY54-GH53)))</f>
        <v>213.49999999999989</v>
      </c>
      <c r="GA54" s="18">
        <f>FZ54*VLOOKUP('Données projet'!$B$17,Paramètres!$A$1:$I$89,3,0)*VLOOKUP('Données projet'!$B$17,Paramètres!$A$1:$I$89,5,0)</f>
        <v>127.67299999999994</v>
      </c>
      <c r="GB54" s="14">
        <f t="shared" si="49"/>
        <v>33.458094021097516</v>
      </c>
      <c r="GC54" s="22">
        <f t="shared" si="25"/>
        <v>280.63665542007806</v>
      </c>
      <c r="GD54" s="62">
        <f t="shared" si="26"/>
        <v>528.9890484950256</v>
      </c>
      <c r="GE54" s="62">
        <f ca="1">AVERAGE(OFFSET($GD$3,0,0,'Données projet'!$E$17+1,1))-AVERAGE(OFFSET($H$3,0,0,'Données projet'!$E$17+1,1))</f>
        <v>315.909549580511</v>
      </c>
      <c r="GF54" s="62">
        <f t="shared" si="50"/>
        <v>208.56856525402051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projet'!$B$17,Paramètres!$A$1:$I$89,3,0)*0.475*44/12</f>
        <v>0</v>
      </c>
      <c r="GM54" s="23">
        <f>EXP(-LN(2)/25)*GM53+(1-EXP(-LN(2)/25))/(LN(2)/25)*Calculateur!GH54*Calculateur!GJ54*VLOOKUP('Données projet'!$B$17,Paramètres!$A$1:$I$89,3,0)*0.475*44/12</f>
        <v>0</v>
      </c>
      <c r="GN54" s="23">
        <f>EXP(-LN(2)/2)*GN53+(1-EXP(-LN(2)/2))/(LN(2)/2)*GH54*GK54*VLOOKUP('Données projet'!$B$17,Paramètres!$A$1:$I$89,3,0)*0.475*44/12</f>
        <v>0</v>
      </c>
      <c r="GO54" s="23">
        <f t="shared" si="27"/>
        <v>0</v>
      </c>
      <c r="GP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57.732470838622049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4.3589743589743595</v>
      </c>
      <c r="GU54" s="13">
        <f>IF('Données projet'!$A$270&gt;35,GU53+GT54-HC53,IF(A54&lt;'Données projet'!$A$270,$GR$205^A54,IF(A54='Données projet'!$A$270,'Données projet'!$B$270,GU53+GT54-HC53)))</f>
        <v>129.35897435897439</v>
      </c>
      <c r="GV54" s="18">
        <f>GU54*VLOOKUP('Données projet'!$B$18,Paramètres!$A$1:$I$89,3,0)*VLOOKUP('Données projet'!$B$18,Paramètres!$A$1:$I$89,5,0)</f>
        <v>86.774000000000029</v>
      </c>
      <c r="GW54" s="14">
        <f t="shared" si="51"/>
        <v>23.785546313501843</v>
      </c>
      <c r="GX54" s="22">
        <f t="shared" si="28"/>
        <v>192.55787649601575</v>
      </c>
      <c r="GY54" s="62">
        <f t="shared" si="29"/>
        <v>440.91026957096324</v>
      </c>
      <c r="GZ54" s="62">
        <f ca="1">AVERAGE(OFFSET($GY$3,0,0,'Données projet'!$E$18+1,1))-AVERAGE(OFFSET($H$3,0,0,'Données projet'!$E$18+1,1))</f>
        <v>254.35742752782755</v>
      </c>
      <c r="HA54" s="62">
        <f t="shared" si="52"/>
        <v>171.79611712137395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>
        <f>EXP(-LN(2)/35)*HG53+(1-EXP(-LN(2)/35))/(LN(2)/35)*HC54*HD54*VLOOKUP('Données projet'!$B$18,Paramètres!$A$1:$I$89,3,0)*0.475*44/12</f>
        <v>0</v>
      </c>
      <c r="HH54" s="23">
        <f>EXP(-LN(2)/25)*HH53+(1-EXP(-LN(2)/25))/(LN(2)/25)*Calculateur!HC54*Calculateur!HE54*VLOOKUP('Données projet'!$B$18,Paramètres!$A$1:$I$89,3,0)*0.475*44/12</f>
        <v>0</v>
      </c>
      <c r="HI54" s="23">
        <f>EXP(-LN(2)/2)*HI53+(1-EXP(-LN(2)/2))/(LN(2)/2)*HC54*HF54*VLOOKUP('Données projet'!$B$18,Paramètres!$A$1:$I$89,3,0)*0.475*44/12</f>
        <v>0</v>
      </c>
      <c r="HJ54" s="24">
        <f t="shared" si="30"/>
        <v>0</v>
      </c>
    </row>
    <row r="55" spans="1:218" s="5" customFormat="1" x14ac:dyDescent="0.3">
      <c r="A55" s="11">
        <f t="shared" si="31"/>
        <v>52</v>
      </c>
      <c r="B55" s="76">
        <f>'Scénario référence'!$B$16*5+'Scénario référence'!$B$17*0+'Scénario référence'!$B$18*5</f>
        <v>3.9405000000000001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14.448500000000001</v>
      </c>
      <c r="H55" s="69">
        <f t="shared" si="1"/>
        <v>161.30656666666667</v>
      </c>
      <c r="I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57.945285043485477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>
        <f>VLOOKUP(A55,'Données projet'!$A$35:$I$55,2,0)</f>
        <v>190.43076923076922</v>
      </c>
      <c r="L55" s="13">
        <f>VLOOKUP(A55,'Données projet'!$A$35:$I$55,9,0)</f>
        <v>6.4759615384615365</v>
      </c>
      <c r="M55" s="13">
        <f t="array" ref="M55">INDEX(L:L,MIN(IF(ISNUMBER(L55:L251),ROW(L55:L251),"")))</f>
        <v>6.4759615384615365</v>
      </c>
      <c r="N55" s="14">
        <f>IF('Données projet'!$A$36&gt;35,N54+M55-V54,IF(A55&lt;'Données projet'!$A$36,$K$205^A55,IF(A55='Données projet'!$A$36,'Données projet'!$B$36,N54+M55-V54)))</f>
        <v>190.43076923076927</v>
      </c>
      <c r="O55" s="14">
        <f>N55*VLOOKUP('Données projet'!$B$9,Paramètres!$A$1:$I$89,3,0)*VLOOKUP('Données projet'!$B$9,Paramètres!$A$1:$I$89,5,0)</f>
        <v>111.40200000000004</v>
      </c>
      <c r="P55" s="14">
        <f t="shared" si="33"/>
        <v>29.661062833995075</v>
      </c>
      <c r="Q55" s="22">
        <f t="shared" si="53"/>
        <v>245.68483443587479</v>
      </c>
      <c r="R55" s="62">
        <f t="shared" si="0"/>
        <v>494.81754626198824</v>
      </c>
      <c r="S55" s="62">
        <f ca="1">AVERAGE(OFFSET($R$3,0,0,'Données projet'!$E$9+1,1))-AVERAGE(OFFSET($H$3,0,0,'Données projet'!$E$9+1,1))</f>
        <v>210.54472399593521</v>
      </c>
      <c r="T55" s="62">
        <f t="shared" si="34"/>
        <v>181.14158435194193</v>
      </c>
      <c r="U55" s="16">
        <f>IF(ISNA(VLOOKUP(A55,'Données projet'!$A$35:$I$55,3,0)),0,VLOOKUP(A55,'Données projet'!$A$35:$I$55,3,0))</f>
        <v>2</v>
      </c>
      <c r="V55" s="16">
        <f>IF(ISNA(VLOOKUP(A55,'Données projet'!$A$35:$I$55,4,0)),0,VLOOKUP(A55,'Données projet'!$A$35:$I$55,4,0))</f>
        <v>77.107692307692304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57.945285043485477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3.2600000000000025</v>
      </c>
      <c r="AI55" s="14">
        <f>IF('Données projet'!$A$62&gt;35,AI54+AH55-AQ54,IF(A55&lt;'Données projet'!$A$62,$AF$205^A55,IF(A55='Données projet'!$A$62,'Données projet'!$B$62,AI54+AH55-AQ54)))</f>
        <v>215.72000000000008</v>
      </c>
      <c r="AJ55" s="14">
        <f>AI55*VLOOKUP('Données projet'!$B$10,Paramètres!$A$1:$I$89,3,0)*VLOOKUP('Données projet'!$B$10,Paramètres!$A$1:$I$89,5,0)</f>
        <v>112.17440000000005</v>
      </c>
      <c r="AK55" s="14">
        <f t="shared" si="35"/>
        <v>29.842705078330251</v>
      </c>
      <c r="AL55" s="22">
        <f t="shared" si="4"/>
        <v>247.34645801142526</v>
      </c>
      <c r="AM55" s="62">
        <f t="shared" si="5"/>
        <v>496.47916983753873</v>
      </c>
      <c r="AN55" s="62">
        <f ca="1">AVERAGE(OFFSET($AM$3,0,0,'Données projet'!$E$10+1,1))-AVERAGE(OFFSET($H$3,0,0,'Données projet'!$E$10+1,1))</f>
        <v>289.05608923588198</v>
      </c>
      <c r="AO55" s="62">
        <f t="shared" si="36"/>
        <v>220.06639020312738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57.945285043485477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1.7724999999999995</v>
      </c>
      <c r="BD55" s="13">
        <f>IF('Données projet'!$A$88&gt;35,BD54+BC55-BL54,IF(A55&lt;'Données projet'!$A$88,$BA$205^A55,IF(A55='Données projet'!$A$88,'Données projet'!$B$88,BD54+BC55-BL54)))</f>
        <v>70.182500000000019</v>
      </c>
      <c r="BE55" s="14">
        <f>BD55*VLOOKUP('Données projet'!$B$11,Paramètres!$A$1:$I$89,3,0)*VLOOKUP('Données projet'!$B$11,Paramètres!$A$1:$I$89,5,0)</f>
        <v>80.850240000000028</v>
      </c>
      <c r="BF55" s="14">
        <f t="shared" si="37"/>
        <v>22.344944145436859</v>
      </c>
      <c r="BG55" s="22">
        <f t="shared" si="7"/>
        <v>179.7316123866359</v>
      </c>
      <c r="BH55" s="62">
        <f t="shared" si="8"/>
        <v>428.86432421274935</v>
      </c>
      <c r="BI55" s="62">
        <f ca="1">AVERAGE(OFFSET($BH$3,0,0,'Données projet'!$E$11+1,1))-AVERAGE(OFFSET($H$3,0,0,'Données projet'!$E$11+1,1))</f>
        <v>299.54950406029354</v>
      </c>
      <c r="BJ55" s="62">
        <f t="shared" si="38"/>
        <v>208.26364698165739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57.945285043485477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4.4871794871794863</v>
      </c>
      <c r="BY55" s="13">
        <f>IF('Données projet'!$A$114&gt;35,BY54+BX55-CG54,IF(A55&lt;'Données projet'!$A$114,$BV$205^A55,IF(A55='Données projet'!$A$114,'Données projet'!$B$114,BY54+BX55-CG54)))</f>
        <v>139.74358974358969</v>
      </c>
      <c r="BZ55" s="14">
        <f>BY55*VLOOKUP('Données projet'!$B$12,Paramètres!$A$1:$I$89,3,0)*VLOOKUP('Données projet'!$B$12,Paramètres!$A$1:$I$89,5,0)</f>
        <v>150.41999999999993</v>
      </c>
      <c r="CA55" s="14">
        <f t="shared" si="39"/>
        <v>38.674016590186575</v>
      </c>
      <c r="CB55" s="22">
        <f t="shared" si="10"/>
        <v>329.33874556124147</v>
      </c>
      <c r="CC55" s="62">
        <f t="shared" si="11"/>
        <v>578.47145738735492</v>
      </c>
      <c r="CD55" s="62">
        <f ca="1">AVERAGE(OFFSET($CC$3,0,0,'Données projet'!$E$12+1,1))-AVERAGE(OFFSET($H$3,0,0,'Données projet'!$E$12+1,1))</f>
        <v>441.30518831297212</v>
      </c>
      <c r="CE55" s="62">
        <f t="shared" si="40"/>
        <v>270.42872405271851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57.945285043485477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4.8</v>
      </c>
      <c r="CT55" s="13">
        <f>IF('Données projet'!$A$140&gt;35,CT54+CS55-DB54,IF(A55&lt;'Données projet'!$A$140,$CQ$205^A55,IF(A55='Données projet'!$A$140,'Données projet'!$B$140,CT54+CS55-DB54)))</f>
        <v>183.59999999999997</v>
      </c>
      <c r="CU55" s="18">
        <f>CT55*VLOOKUP('Données projet'!$B$13,Paramètres!$A$1:$I$89,3,0)*VLOOKUP('Données projet'!$B$13,Paramètres!$A$1:$I$89,5,0)</f>
        <v>160.39295999999999</v>
      </c>
      <c r="CV55" s="14">
        <f t="shared" si="41"/>
        <v>40.931135973980041</v>
      </c>
      <c r="CW55" s="22">
        <f t="shared" si="13"/>
        <v>350.63946715468188</v>
      </c>
      <c r="CX55" s="62">
        <f t="shared" si="14"/>
        <v>599.77217898079539</v>
      </c>
      <c r="CY55" s="62">
        <f ca="1">AVERAGE(OFFSET($CX$3,0,0,'Données projet'!$E$13+1,1))-AVERAGE(OFFSET($H$3,0,0,'Données projet'!$E$13+1,1))</f>
        <v>310.81258463659196</v>
      </c>
      <c r="CZ55" s="62">
        <f t="shared" si="42"/>
        <v>287.31099756692083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57.945285043485477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4.4871794871794863</v>
      </c>
      <c r="DO55" s="13">
        <f>IF('Données projet'!$A$166&gt;35,DO54+DN55-DW54,IF(A55&lt;'Données projet'!$A$166,$DL$205^A55,IF(A55='Données projet'!$A$166,'Données projet'!$B$166,DO54+DN55-DW54)))</f>
        <v>139.74358974358969</v>
      </c>
      <c r="DP55" s="18">
        <f>DO55*VLOOKUP('Données projet'!$B$14,Paramètres!$A$1:$I$89,3,0)*VLOOKUP('Données projet'!$B$14,Paramètres!$A$1:$I$89,5,0)</f>
        <v>146.05999999999995</v>
      </c>
      <c r="DQ55" s="14">
        <f t="shared" si="43"/>
        <v>37.681824130204156</v>
      </c>
      <c r="DR55" s="22">
        <f t="shared" si="16"/>
        <v>320.01701036010542</v>
      </c>
      <c r="DS55" s="62">
        <f t="shared" si="17"/>
        <v>569.14972218621892</v>
      </c>
      <c r="DT55" s="62">
        <f ca="1">AVERAGE(OFFSET($DS$3,0,0,'Données projet'!$E$14+1,1))-AVERAGE(OFFSET($H$3,0,0,'Données projet'!$E$14+1,1))</f>
        <v>431.19274104373625</v>
      </c>
      <c r="DU55" s="62">
        <f t="shared" si="44"/>
        <v>264.67919175178133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57.945285043485477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10.542307692307702</v>
      </c>
      <c r="EJ55" s="13">
        <f>IF('Données projet'!$A$192&gt;35,EJ54+EI55-ER54,IF(A55&lt;'Données projet'!$A$192,$EG$205^A55,IF(A55='Données projet'!$A$192,'Données projet'!$B$192,EJ54+EI55-ER54)))</f>
        <v>232.07307692307671</v>
      </c>
      <c r="EK55" s="18">
        <f>EJ55*VLOOKUP('Données projet'!$B$15,Paramètres!$A$1:$I$89,3,0)*VLOOKUP('Données projet'!$B$15,Paramètres!$A$1:$I$89,5,0)</f>
        <v>108.61019999999989</v>
      </c>
      <c r="EL55" s="14">
        <f t="shared" si="45"/>
        <v>29.003294930485936</v>
      </c>
      <c r="EM55" s="22">
        <f t="shared" si="19"/>
        <v>239.67683700392948</v>
      </c>
      <c r="EN55" s="62">
        <f t="shared" si="20"/>
        <v>488.8095488300429</v>
      </c>
      <c r="EO55" s="62">
        <f ca="1">AVERAGE(OFFSET($EN$3,0,0,'Données projet'!$E$15+1,1))-AVERAGE(OFFSET($H$3,0,0,'Données projet'!$E$15+1,1))</f>
        <v>291.68530745507815</v>
      </c>
      <c r="EP55" s="62">
        <f t="shared" si="46"/>
        <v>175.95121106728979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0</v>
      </c>
      <c r="EZ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57.945285043485477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4.5999999999999996</v>
      </c>
      <c r="FE55" s="13">
        <f>IF('Données projet'!$A$218&gt;35,FE54+FD55-FM54,IF(A55&lt;'Données projet'!$A$218,$FB$205^A55,IF(A55='Données projet'!$A$218,'Données projet'!$B$218,FE54+FD55-FM54)))</f>
        <v>163.19999999999987</v>
      </c>
      <c r="FF55" s="18">
        <f>FE55*VLOOKUP('Données projet'!$B$16,Paramètres!$A$1:$I$89,3,0)*VLOOKUP('Données projet'!$B$16,Paramètres!$A$1:$I$89,5,0)</f>
        <v>106.92863999999992</v>
      </c>
      <c r="FG55" s="14">
        <f t="shared" si="47"/>
        <v>28.606159868782917</v>
      </c>
      <c r="FH55" s="22">
        <f t="shared" si="22"/>
        <v>236.05644310479678</v>
      </c>
      <c r="FI55" s="62">
        <f t="shared" si="23"/>
        <v>485.18915493091026</v>
      </c>
      <c r="FJ55" s="62">
        <f ca="1">AVERAGE(OFFSET($FI$3,0,0,'Données projet'!$E$16+1,1))-AVERAGE(OFFSET($H$3,0,0,'Données projet'!$E$16+1,1))</f>
        <v>248.75689726928428</v>
      </c>
      <c r="FK55" s="62">
        <f t="shared" si="48"/>
        <v>232.02291680388336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projet'!$B$16,Paramètres!$A$1:$I$89,3,0)*0.475*44/12</f>
        <v>0</v>
      </c>
      <c r="FR55" s="23">
        <f>EXP(-LN(2)/25)*FR54+(1-EXP(-LN(2)/25))/(LN(2)/25)*Calculateur!FM55*Calculateur!FO55*VLOOKUP('Données projet'!$B$16,Paramètres!$A$1:$I$89,3,0)*0.475*44/12</f>
        <v>0</v>
      </c>
      <c r="FS55" s="23">
        <f>EXP(-LN(2)/2)*FS54+(1-EXP(-LN(2)/2))/(LN(2)/2)*FM55*FP55*VLOOKUP('Données projet'!$B$16,Paramètres!$A$1:$I$89,3,0)*0.475*44/12</f>
        <v>0</v>
      </c>
      <c r="FT55" s="24">
        <f t="shared" si="24"/>
        <v>0</v>
      </c>
      <c r="FU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57.945285043485477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15.75</v>
      </c>
      <c r="FZ55" s="13">
        <f>IF('Données projet'!$A$244&gt;35,FZ54+FY55-GH54,IF(A55&lt;'Données projet'!$A$244,$FW$205^A55,IF(A55='Données projet'!$A$244,'Données projet'!$B$244,FZ54+FY55-GH54)))</f>
        <v>229.24999999999989</v>
      </c>
      <c r="GA55" s="18">
        <f>FZ55*VLOOKUP('Données projet'!$B$17,Paramètres!$A$1:$I$89,3,0)*VLOOKUP('Données projet'!$B$17,Paramètres!$A$1:$I$89,5,0)</f>
        <v>137.09149999999994</v>
      </c>
      <c r="GB55" s="14">
        <f t="shared" si="49"/>
        <v>35.629897067383737</v>
      </c>
      <c r="GC55" s="22">
        <f t="shared" si="25"/>
        <v>300.82309989235995</v>
      </c>
      <c r="GD55" s="62">
        <f t="shared" si="26"/>
        <v>549.95581171847334</v>
      </c>
      <c r="GE55" s="62">
        <f ca="1">AVERAGE(OFFSET($GD$3,0,0,'Données projet'!$E$17+1,1))-AVERAGE(OFFSET($H$3,0,0,'Données projet'!$E$17+1,1))</f>
        <v>315.909549580511</v>
      </c>
      <c r="GF55" s="62">
        <f t="shared" si="50"/>
        <v>208.56856525402051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>
        <f>EXP(-LN(2)/35)*GL54+(1-EXP(-LN(2)/35))/(LN(2)/35)*GH55*GI55*VLOOKUP('Données projet'!$B$17,Paramètres!$A$1:$I$89,3,0)*0.475*44/12</f>
        <v>0</v>
      </c>
      <c r="GM55" s="23">
        <f>EXP(-LN(2)/25)*GM54+(1-EXP(-LN(2)/25))/(LN(2)/25)*Calculateur!GH55*Calculateur!GJ55*VLOOKUP('Données projet'!$B$17,Paramètres!$A$1:$I$89,3,0)*0.475*44/12</f>
        <v>0</v>
      </c>
      <c r="GN55" s="23">
        <f>EXP(-LN(2)/2)*GN54+(1-EXP(-LN(2)/2))/(LN(2)/2)*GH55*GK55*VLOOKUP('Données projet'!$B$17,Paramètres!$A$1:$I$89,3,0)*0.475*44/12</f>
        <v>0</v>
      </c>
      <c r="GO55" s="23">
        <f t="shared" si="27"/>
        <v>0</v>
      </c>
      <c r="GP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57.945285043485477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4.3589743589743595</v>
      </c>
      <c r="GU55" s="13">
        <f>IF('Données projet'!$A$270&gt;35,GU54+GT55-HC54,IF(A55&lt;'Données projet'!$A$270,$GR$205^A55,IF(A55='Données projet'!$A$270,'Données projet'!$B$270,GU54+GT55-HC54)))</f>
        <v>133.71794871794876</v>
      </c>
      <c r="GV55" s="18">
        <f>GU55*VLOOKUP('Données projet'!$B$18,Paramètres!$A$1:$I$89,3,0)*VLOOKUP('Données projet'!$B$18,Paramètres!$A$1:$I$89,5,0)</f>
        <v>89.698000000000036</v>
      </c>
      <c r="GW55" s="14">
        <f t="shared" si="51"/>
        <v>24.492375624045465</v>
      </c>
      <c r="GX55" s="22">
        <f t="shared" si="28"/>
        <v>198.88157087854589</v>
      </c>
      <c r="GY55" s="62">
        <f t="shared" si="29"/>
        <v>448.01428270465931</v>
      </c>
      <c r="GZ55" s="62">
        <f ca="1">AVERAGE(OFFSET($GY$3,0,0,'Données projet'!$E$18+1,1))-AVERAGE(OFFSET($H$3,0,0,'Données projet'!$E$18+1,1))</f>
        <v>254.35742752782755</v>
      </c>
      <c r="HA55" s="62">
        <f t="shared" si="52"/>
        <v>171.79611712137395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>
        <f>EXP(-LN(2)/35)*HG54+(1-EXP(-LN(2)/35))/(LN(2)/35)*HC55*HD55*VLOOKUP('Données projet'!$B$18,Paramètres!$A$1:$I$89,3,0)*0.475*44/12</f>
        <v>0</v>
      </c>
      <c r="HH55" s="23">
        <f>EXP(-LN(2)/25)*HH54+(1-EXP(-LN(2)/25))/(LN(2)/25)*Calculateur!HC55*Calculateur!HE55*VLOOKUP('Données projet'!$B$18,Paramètres!$A$1:$I$89,3,0)*0.475*44/12</f>
        <v>0</v>
      </c>
      <c r="HI55" s="23">
        <f>EXP(-LN(2)/2)*HI54+(1-EXP(-LN(2)/2))/(LN(2)/2)*HC55*HF55*VLOOKUP('Données projet'!$B$18,Paramètres!$A$1:$I$89,3,0)*0.475*44/12</f>
        <v>0</v>
      </c>
      <c r="HJ55" s="24">
        <f t="shared" si="30"/>
        <v>0</v>
      </c>
    </row>
    <row r="56" spans="1:218" s="5" customFormat="1" x14ac:dyDescent="0.3">
      <c r="A56" s="11">
        <f t="shared" si="31"/>
        <v>53</v>
      </c>
      <c r="B56" s="76">
        <f>'Scénario référence'!$B$16*5+'Scénario référence'!$B$17*0+'Scénario référence'!$B$18*5</f>
        <v>3.9405000000000001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14.448500000000001</v>
      </c>
      <c r="H56" s="69">
        <f t="shared" si="1"/>
        <v>161.30656666666667</v>
      </c>
      <c r="I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58.154407397675811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4.9549450549450569</v>
      </c>
      <c r="N56" s="14">
        <f>IF('Données projet'!$A$36&gt;35,N55+M56-V55,IF(A56&lt;'Données projet'!$A$36,$K$205^A56,IF(A56='Données projet'!$A$36,'Données projet'!$B$36,N55+M56-V55)))</f>
        <v>118.27802197802202</v>
      </c>
      <c r="O56" s="14">
        <f>N56*VLOOKUP('Données projet'!$B$9,Paramètres!$A$1:$I$89,3,0)*VLOOKUP('Données projet'!$B$9,Paramètres!$A$1:$I$89,5,0)</f>
        <v>69.192642857142886</v>
      </c>
      <c r="P56" s="14">
        <f t="shared" si="33"/>
        <v>19.472827172380715</v>
      </c>
      <c r="Q56" s="22">
        <f t="shared" si="53"/>
        <v>154.42569363475363</v>
      </c>
      <c r="R56" s="62">
        <f t="shared" si="0"/>
        <v>404.32518742623159</v>
      </c>
      <c r="S56" s="62">
        <f ca="1">AVERAGE(OFFSET($R$3,0,0,'Données projet'!$E$9+1,1))-AVERAGE(OFFSET($H$3,0,0,'Données projet'!$E$9+1,1))</f>
        <v>210.54472399593521</v>
      </c>
      <c r="T56" s="62">
        <f t="shared" si="34"/>
        <v>181.14158435194193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58.154407397675811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3.2600000000000025</v>
      </c>
      <c r="AI56" s="14">
        <f>IF('Données projet'!$A$62&gt;35,AI55+AH56-AQ55,IF(A56&lt;'Données projet'!$A$62,$AF$205^A56,IF(A56='Données projet'!$A$62,'Données projet'!$B$62,AI55+AH56-AQ55)))</f>
        <v>218.98000000000008</v>
      </c>
      <c r="AJ56" s="14">
        <f>AI56*VLOOKUP('Données projet'!$B$10,Paramètres!$A$1:$I$89,3,0)*VLOOKUP('Données projet'!$B$10,Paramètres!$A$1:$I$89,5,0)</f>
        <v>113.86960000000006</v>
      </c>
      <c r="AK56" s="14">
        <f t="shared" si="35"/>
        <v>30.240849901251988</v>
      </c>
      <c r="AL56" s="22">
        <f t="shared" si="4"/>
        <v>250.99236691134732</v>
      </c>
      <c r="AM56" s="62">
        <f t="shared" si="5"/>
        <v>500.89186070282528</v>
      </c>
      <c r="AN56" s="62">
        <f ca="1">AVERAGE(OFFSET($AM$3,0,0,'Données projet'!$E$10+1,1))-AVERAGE(OFFSET($H$3,0,0,'Données projet'!$E$10+1,1))</f>
        <v>289.05608923588198</v>
      </c>
      <c r="AO56" s="62">
        <f t="shared" si="36"/>
        <v>220.06639020312738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58.154407397675811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1.7724999999999995</v>
      </c>
      <c r="BD56" s="13">
        <f>IF('Données projet'!$A$88&gt;35,BD55+BC56-BL55,IF(A56&lt;'Données projet'!$A$88,$BA$205^A56,IF(A56='Données projet'!$A$88,'Données projet'!$B$88,BD55+BC56-BL55)))</f>
        <v>71.955000000000013</v>
      </c>
      <c r="BE56" s="14">
        <f>BD56*VLOOKUP('Données projet'!$B$11,Paramètres!$A$1:$I$89,3,0)*VLOOKUP('Données projet'!$B$11,Paramètres!$A$1:$I$89,5,0)</f>
        <v>82.892160000000004</v>
      </c>
      <c r="BF56" s="14">
        <f t="shared" si="37"/>
        <v>22.842864054032365</v>
      </c>
      <c r="BG56" s="22">
        <f t="shared" si="7"/>
        <v>184.15516689410637</v>
      </c>
      <c r="BH56" s="62">
        <f t="shared" si="8"/>
        <v>434.05466068558434</v>
      </c>
      <c r="BI56" s="62">
        <f ca="1">AVERAGE(OFFSET($BH$3,0,0,'Données projet'!$E$11+1,1))-AVERAGE(OFFSET($H$3,0,0,'Données projet'!$E$11+1,1))</f>
        <v>299.54950406029354</v>
      </c>
      <c r="BJ56" s="62">
        <f t="shared" si="38"/>
        <v>208.26364698165739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58.154407397675811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4.4871794871794863</v>
      </c>
      <c r="BY56" s="13">
        <f>IF('Données projet'!$A$114&gt;35,BY55+BX56-CG55,IF(A56&lt;'Données projet'!$A$114,$BV$205^A56,IF(A56='Données projet'!$A$114,'Données projet'!$B$114,BY55+BX56-CG55)))</f>
        <v>144.23076923076917</v>
      </c>
      <c r="BZ56" s="14">
        <f>BY56*VLOOKUP('Données projet'!$B$12,Paramètres!$A$1:$I$89,3,0)*VLOOKUP('Données projet'!$B$12,Paramètres!$A$1:$I$89,5,0)</f>
        <v>155.24999999999991</v>
      </c>
      <c r="CA56" s="14">
        <f t="shared" si="39"/>
        <v>39.76926773331602</v>
      </c>
      <c r="CB56" s="22">
        <f t="shared" si="10"/>
        <v>339.65855796885859</v>
      </c>
      <c r="CC56" s="62">
        <f t="shared" si="11"/>
        <v>589.55805176033653</v>
      </c>
      <c r="CD56" s="62">
        <f ca="1">AVERAGE(OFFSET($CC$3,0,0,'Données projet'!$E$12+1,1))-AVERAGE(OFFSET($H$3,0,0,'Données projet'!$E$12+1,1))</f>
        <v>441.30518831297212</v>
      </c>
      <c r="CE56" s="62">
        <f t="shared" si="40"/>
        <v>270.42872405271851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58.154407397675811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4.8</v>
      </c>
      <c r="CT56" s="13">
        <f>IF('Données projet'!$A$140&gt;35,CT55+CS56-DB55,IF(A56&lt;'Données projet'!$A$140,$CQ$205^A56,IF(A56='Données projet'!$A$140,'Données projet'!$B$140,CT55+CS56-DB55)))</f>
        <v>188.39999999999998</v>
      </c>
      <c r="CU56" s="18">
        <f>CT56*VLOOKUP('Données projet'!$B$13,Paramètres!$A$1:$I$89,3,0)*VLOOKUP('Données projet'!$B$13,Paramètres!$A$1:$I$89,5,0)</f>
        <v>164.58624</v>
      </c>
      <c r="CV56" s="14">
        <f t="shared" si="41"/>
        <v>41.875247075991886</v>
      </c>
      <c r="CW56" s="22">
        <f t="shared" si="13"/>
        <v>359.58708999068585</v>
      </c>
      <c r="CX56" s="62">
        <f t="shared" si="14"/>
        <v>609.48658378216385</v>
      </c>
      <c r="CY56" s="62">
        <f ca="1">AVERAGE(OFFSET($CX$3,0,0,'Données projet'!$E$13+1,1))-AVERAGE(OFFSET($H$3,0,0,'Données projet'!$E$13+1,1))</f>
        <v>310.81258463659196</v>
      </c>
      <c r="CZ56" s="62">
        <f t="shared" si="42"/>
        <v>287.31099756692083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58.154407397675811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4.4871794871794863</v>
      </c>
      <c r="DO56" s="13">
        <f>IF('Données projet'!$A$166&gt;35,DO55+DN56-DW55,IF(A56&lt;'Données projet'!$A$166,$DL$205^A56,IF(A56='Données projet'!$A$166,'Données projet'!$B$166,DO55+DN56-DW55)))</f>
        <v>144.23076923076917</v>
      </c>
      <c r="DP56" s="18">
        <f>DO56*VLOOKUP('Données projet'!$B$14,Paramètres!$A$1:$I$89,3,0)*VLOOKUP('Données projet'!$B$14,Paramètres!$A$1:$I$89,5,0)</f>
        <v>150.74999999999994</v>
      </c>
      <c r="DQ56" s="14">
        <f t="shared" si="43"/>
        <v>38.748976306073061</v>
      </c>
      <c r="DR56" s="22">
        <f t="shared" si="16"/>
        <v>330.04405039974381</v>
      </c>
      <c r="DS56" s="62">
        <f t="shared" si="17"/>
        <v>579.9435441912218</v>
      </c>
      <c r="DT56" s="62">
        <f ca="1">AVERAGE(OFFSET($DS$3,0,0,'Données projet'!$E$14+1,1))-AVERAGE(OFFSET($H$3,0,0,'Données projet'!$E$14+1,1))</f>
        <v>431.19274104373625</v>
      </c>
      <c r="DU56" s="62">
        <f t="shared" si="44"/>
        <v>264.67919175178133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58.154407397675811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10.542307692307702</v>
      </c>
      <c r="EJ56" s="13">
        <f>IF('Données projet'!$A$192&gt;35,EJ55+EI56-ER55,IF(A56&lt;'Données projet'!$A$192,$EG$205^A56,IF(A56='Données projet'!$A$192,'Données projet'!$B$192,EJ55+EI56-ER55)))</f>
        <v>242.61538461538441</v>
      </c>
      <c r="EK56" s="18">
        <f>EJ56*VLOOKUP('Données projet'!$B$15,Paramètres!$A$1:$I$89,3,0)*VLOOKUP('Données projet'!$B$15,Paramètres!$A$1:$I$89,5,0)</f>
        <v>113.54399999999991</v>
      </c>
      <c r="EL56" s="14">
        <f t="shared" si="45"/>
        <v>30.164431377064304</v>
      </c>
      <c r="EM56" s="22">
        <f t="shared" si="19"/>
        <v>250.29218464838678</v>
      </c>
      <c r="EN56" s="62">
        <f t="shared" si="20"/>
        <v>500.19167843986475</v>
      </c>
      <c r="EO56" s="62">
        <f ca="1">AVERAGE(OFFSET($EN$3,0,0,'Données projet'!$E$15+1,1))-AVERAGE(OFFSET($H$3,0,0,'Données projet'!$E$15+1,1))</f>
        <v>291.68530745507815</v>
      </c>
      <c r="EP56" s="62">
        <f t="shared" si="46"/>
        <v>175.95121106728979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0</v>
      </c>
      <c r="EZ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58.154407397675811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4.5999999999999996</v>
      </c>
      <c r="FE56" s="13">
        <f>IF('Données projet'!$A$218&gt;35,FE55+FD56-FM55,IF(A56&lt;'Données projet'!$A$218,$FB$205^A56,IF(A56='Données projet'!$A$218,'Données projet'!$B$218,FE55+FD56-FM55)))</f>
        <v>167.79999999999987</v>
      </c>
      <c r="FF56" s="18">
        <f>FE56*VLOOKUP('Données projet'!$B$16,Paramètres!$A$1:$I$89,3,0)*VLOOKUP('Données projet'!$B$16,Paramètres!$A$1:$I$89,5,0)</f>
        <v>109.94255999999992</v>
      </c>
      <c r="FG56" s="14">
        <f t="shared" si="47"/>
        <v>29.317450849172975</v>
      </c>
      <c r="FH56" s="22">
        <f t="shared" si="22"/>
        <v>242.5445188956428</v>
      </c>
      <c r="FI56" s="62">
        <f t="shared" si="23"/>
        <v>492.44401268712079</v>
      </c>
      <c r="FJ56" s="62">
        <f ca="1">AVERAGE(OFFSET($FI$3,0,0,'Données projet'!$E$16+1,1))-AVERAGE(OFFSET($H$3,0,0,'Données projet'!$E$16+1,1))</f>
        <v>248.75689726928428</v>
      </c>
      <c r="FK56" s="62">
        <f t="shared" si="48"/>
        <v>232.02291680388336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projet'!$B$16,Paramètres!$A$1:$I$89,3,0)*0.475*44/12</f>
        <v>0</v>
      </c>
      <c r="FR56" s="23">
        <f>EXP(-LN(2)/25)*FR55+(1-EXP(-LN(2)/25))/(LN(2)/25)*Calculateur!FM56*Calculateur!FO56*VLOOKUP('Données projet'!$B$16,Paramètres!$A$1:$I$89,3,0)*0.475*44/12</f>
        <v>0</v>
      </c>
      <c r="FS56" s="23">
        <f>EXP(-LN(2)/2)*FS55+(1-EXP(-LN(2)/2))/(LN(2)/2)*FM56*FP56*VLOOKUP('Données projet'!$B$16,Paramètres!$A$1:$I$89,3,0)*0.475*44/12</f>
        <v>0</v>
      </c>
      <c r="FT56" s="24">
        <f t="shared" si="24"/>
        <v>0</v>
      </c>
      <c r="FU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58.154407397675811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15.75</v>
      </c>
      <c r="FZ56" s="13">
        <f>IF('Données projet'!$A$244&gt;35,FZ55+FY56-GH55,IF(A56&lt;'Données projet'!$A$244,$FW$205^A56,IF(A56='Données projet'!$A$244,'Données projet'!$B$244,FZ55+FY56-GH55)))</f>
        <v>244.99999999999989</v>
      </c>
      <c r="GA56" s="18">
        <f>FZ56*VLOOKUP('Données projet'!$B$17,Paramètres!$A$1:$I$89,3,0)*VLOOKUP('Données projet'!$B$17,Paramètres!$A$1:$I$89,5,0)</f>
        <v>146.50999999999993</v>
      </c>
      <c r="GB56" s="14">
        <f t="shared" si="49"/>
        <v>37.784387209607431</v>
      </c>
      <c r="GC56" s="22">
        <f t="shared" si="25"/>
        <v>320.97939105673277</v>
      </c>
      <c r="GD56" s="62">
        <f t="shared" si="26"/>
        <v>570.87888484821076</v>
      </c>
      <c r="GE56" s="62">
        <f ca="1">AVERAGE(OFFSET($GD$3,0,0,'Données projet'!$E$17+1,1))-AVERAGE(OFFSET($H$3,0,0,'Données projet'!$E$17+1,1))</f>
        <v>315.909549580511</v>
      </c>
      <c r="GF56" s="62">
        <f t="shared" si="50"/>
        <v>208.56856525402051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projet'!$B$17,Paramètres!$A$1:$I$89,3,0)*0.475*44/12</f>
        <v>0</v>
      </c>
      <c r="GM56" s="23">
        <f>EXP(-LN(2)/25)*GM55+(1-EXP(-LN(2)/25))/(LN(2)/25)*Calculateur!GH56*Calculateur!GJ56*VLOOKUP('Données projet'!$B$17,Paramètres!$A$1:$I$89,3,0)*0.475*44/12</f>
        <v>0</v>
      </c>
      <c r="GN56" s="23">
        <f>EXP(-LN(2)/2)*GN55+(1-EXP(-LN(2)/2))/(LN(2)/2)*GH56*GK56*VLOOKUP('Données projet'!$B$17,Paramètres!$A$1:$I$89,3,0)*0.475*44/12</f>
        <v>0</v>
      </c>
      <c r="GO56" s="23">
        <f t="shared" si="27"/>
        <v>0</v>
      </c>
      <c r="GP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58.154407397675811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4.3589743589743595</v>
      </c>
      <c r="GU56" s="13">
        <f>IF('Données projet'!$A$270&gt;35,GU55+GT56-HC55,IF(A56&lt;'Données projet'!$A$270,$GR$205^A56,IF(A56='Données projet'!$A$270,'Données projet'!$B$270,GU55+GT56-HC55)))</f>
        <v>138.07692307692312</v>
      </c>
      <c r="GV56" s="18">
        <f>GU56*VLOOKUP('Données projet'!$B$18,Paramètres!$A$1:$I$89,3,0)*VLOOKUP('Données projet'!$B$18,Paramètres!$A$1:$I$89,5,0)</f>
        <v>92.622000000000043</v>
      </c>
      <c r="GW56" s="14">
        <f t="shared" si="51"/>
        <v>25.196527494784391</v>
      </c>
      <c r="GX56" s="22">
        <f t="shared" si="28"/>
        <v>205.20060205341622</v>
      </c>
      <c r="GY56" s="62">
        <f t="shared" si="29"/>
        <v>455.10009584489421</v>
      </c>
      <c r="GZ56" s="62">
        <f ca="1">AVERAGE(OFFSET($GY$3,0,0,'Données projet'!$E$18+1,1))-AVERAGE(OFFSET($H$3,0,0,'Données projet'!$E$18+1,1))</f>
        <v>254.35742752782755</v>
      </c>
      <c r="HA56" s="62">
        <f t="shared" si="52"/>
        <v>171.79611712137395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>
        <f>EXP(-LN(2)/35)*HG55+(1-EXP(-LN(2)/35))/(LN(2)/35)*HC56*HD56*VLOOKUP('Données projet'!$B$18,Paramètres!$A$1:$I$89,3,0)*0.475*44/12</f>
        <v>0</v>
      </c>
      <c r="HH56" s="23">
        <f>EXP(-LN(2)/25)*HH55+(1-EXP(-LN(2)/25))/(LN(2)/25)*Calculateur!HC56*Calculateur!HE56*VLOOKUP('Données projet'!$B$18,Paramètres!$A$1:$I$89,3,0)*0.475*44/12</f>
        <v>0</v>
      </c>
      <c r="HI56" s="23">
        <f>EXP(-LN(2)/2)*HI55+(1-EXP(-LN(2)/2))/(LN(2)/2)*HC56*HF56*VLOOKUP('Données projet'!$B$18,Paramètres!$A$1:$I$89,3,0)*0.475*44/12</f>
        <v>0</v>
      </c>
      <c r="HJ56" s="24">
        <f t="shared" si="30"/>
        <v>0</v>
      </c>
    </row>
    <row r="57" spans="1:218" s="5" customFormat="1" x14ac:dyDescent="0.3">
      <c r="A57" s="11">
        <f t="shared" si="31"/>
        <v>54</v>
      </c>
      <c r="B57" s="76">
        <f>'Scénario référence'!$B$16*5+'Scénario référence'!$B$17*0+'Scénario référence'!$B$18*5</f>
        <v>3.9405000000000001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14.448500000000001</v>
      </c>
      <c r="H57" s="69">
        <f t="shared" si="1"/>
        <v>161.30656666666667</v>
      </c>
      <c r="I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58.359901946548483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4.9549450549450569</v>
      </c>
      <c r="N57" s="14">
        <f>IF('Données projet'!$A$36&gt;35,N56+M57-V56,IF(A57&lt;'Données projet'!$A$36,$K$205^A57,IF(A57='Données projet'!$A$36,'Données projet'!$B$36,N56+M57-V56)))</f>
        <v>123.23296703296708</v>
      </c>
      <c r="O57" s="14">
        <f>N57*VLOOKUP('Données projet'!$B$9,Paramètres!$A$1:$I$89,3,0)*VLOOKUP('Données projet'!$B$9,Paramètres!$A$1:$I$89,5,0)</f>
        <v>72.091285714285746</v>
      </c>
      <c r="P57" s="14">
        <f t="shared" si="33"/>
        <v>20.191904399149117</v>
      </c>
      <c r="Q57" s="22">
        <f t="shared" si="53"/>
        <v>160.72655611423238</v>
      </c>
      <c r="R57" s="62">
        <f t="shared" si="0"/>
        <v>411.37952991824352</v>
      </c>
      <c r="S57" s="62">
        <f ca="1">AVERAGE(OFFSET($R$3,0,0,'Données projet'!$E$9+1,1))-AVERAGE(OFFSET($H$3,0,0,'Données projet'!$E$9+1,1))</f>
        <v>210.54472399593521</v>
      </c>
      <c r="T57" s="62">
        <f t="shared" si="34"/>
        <v>181.14158435194193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58.359901946548483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3.2600000000000025</v>
      </c>
      <c r="AI57" s="14">
        <f>IF('Données projet'!$A$62&gt;35,AI56+AH57-AQ56,IF(A57&lt;'Données projet'!$A$62,$AF$205^A57,IF(A57='Données projet'!$A$62,'Données projet'!$B$62,AI56+AH57-AQ56)))</f>
        <v>222.24000000000007</v>
      </c>
      <c r="AJ57" s="14">
        <f>AI57*VLOOKUP('Données projet'!$B$10,Paramètres!$A$1:$I$89,3,0)*VLOOKUP('Données projet'!$B$10,Paramètres!$A$1:$I$89,5,0)</f>
        <v>115.56480000000005</v>
      </c>
      <c r="AK57" s="14">
        <f t="shared" si="35"/>
        <v>30.638305361236469</v>
      </c>
      <c r="AL57" s="22">
        <f t="shared" si="4"/>
        <v>254.63707517082025</v>
      </c>
      <c r="AM57" s="62">
        <f t="shared" si="5"/>
        <v>505.29004897483139</v>
      </c>
      <c r="AN57" s="62">
        <f ca="1">AVERAGE(OFFSET($AM$3,0,0,'Données projet'!$E$10+1,1))-AVERAGE(OFFSET($H$3,0,0,'Données projet'!$E$10+1,1))</f>
        <v>289.05608923588198</v>
      </c>
      <c r="AO57" s="62">
        <f t="shared" si="36"/>
        <v>220.06639020312738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58.359901946548483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1.7724999999999995</v>
      </c>
      <c r="BD57" s="13">
        <f>IF('Données projet'!$A$88&gt;35,BD56+BC57-BL56,IF(A57&lt;'Données projet'!$A$88,$BA$205^A57,IF(A57='Données projet'!$A$88,'Données projet'!$B$88,BD56+BC57-BL56)))</f>
        <v>73.727500000000006</v>
      </c>
      <c r="BE57" s="14">
        <f>BD57*VLOOKUP('Données projet'!$B$11,Paramètres!$A$1:$I$89,3,0)*VLOOKUP('Données projet'!$B$11,Paramètres!$A$1:$I$89,5,0)</f>
        <v>84.934080000000009</v>
      </c>
      <c r="BF57" s="14">
        <f t="shared" si="37"/>
        <v>23.339358152569286</v>
      </c>
      <c r="BG57" s="22">
        <f t="shared" si="7"/>
        <v>188.57623811572486</v>
      </c>
      <c r="BH57" s="62">
        <f t="shared" si="8"/>
        <v>439.22921191973603</v>
      </c>
      <c r="BI57" s="62">
        <f ca="1">AVERAGE(OFFSET($BH$3,0,0,'Données projet'!$E$11+1,1))-AVERAGE(OFFSET($H$3,0,0,'Données projet'!$E$11+1,1))</f>
        <v>299.54950406029354</v>
      </c>
      <c r="BJ57" s="62">
        <f t="shared" si="38"/>
        <v>208.26364698165739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58.359901946548483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4.4871794871794863</v>
      </c>
      <c r="BY57" s="13">
        <f>IF('Données projet'!$A$114&gt;35,BY56+BX57-CG56,IF(A57&lt;'Données projet'!$A$114,$BV$205^A57,IF(A57='Données projet'!$A$114,'Données projet'!$B$114,BY56+BX57-CG56)))</f>
        <v>148.71794871794864</v>
      </c>
      <c r="BZ57" s="14">
        <f>BY57*VLOOKUP('Données projet'!$B$12,Paramètres!$A$1:$I$89,3,0)*VLOOKUP('Données projet'!$B$12,Paramètres!$A$1:$I$89,5,0)</f>
        <v>160.07999999999993</v>
      </c>
      <c r="CA57" s="14">
        <f t="shared" si="39"/>
        <v>40.860559105013273</v>
      </c>
      <c r="CB57" s="22">
        <f t="shared" si="10"/>
        <v>349.97147377456463</v>
      </c>
      <c r="CC57" s="62">
        <f t="shared" si="11"/>
        <v>600.62444757857577</v>
      </c>
      <c r="CD57" s="62">
        <f ca="1">AVERAGE(OFFSET($CC$3,0,0,'Données projet'!$E$12+1,1))-AVERAGE(OFFSET($H$3,0,0,'Données projet'!$E$12+1,1))</f>
        <v>441.30518831297212</v>
      </c>
      <c r="CE57" s="62">
        <f t="shared" si="40"/>
        <v>270.42872405271851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58.359901946548483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4.8</v>
      </c>
      <c r="CT57" s="13">
        <f>IF('Données projet'!$A$140&gt;35,CT56+CS57-DB56,IF(A57&lt;'Données projet'!$A$140,$CQ$205^A57,IF(A57='Données projet'!$A$140,'Données projet'!$B$140,CT56+CS57-DB56)))</f>
        <v>193.2</v>
      </c>
      <c r="CU57" s="18">
        <f>CT57*VLOOKUP('Données projet'!$B$13,Paramètres!$A$1:$I$89,3,0)*VLOOKUP('Données projet'!$B$13,Paramètres!$A$1:$I$89,5,0)</f>
        <v>168.77952000000002</v>
      </c>
      <c r="CV57" s="14">
        <f t="shared" si="41"/>
        <v>42.816562145177031</v>
      </c>
      <c r="CW57" s="22">
        <f t="shared" si="13"/>
        <v>368.52984306951663</v>
      </c>
      <c r="CX57" s="62">
        <f t="shared" si="14"/>
        <v>619.18281687352783</v>
      </c>
      <c r="CY57" s="62">
        <f ca="1">AVERAGE(OFFSET($CX$3,0,0,'Données projet'!$E$13+1,1))-AVERAGE(OFFSET($H$3,0,0,'Données projet'!$E$13+1,1))</f>
        <v>310.81258463659196</v>
      </c>
      <c r="CZ57" s="62">
        <f t="shared" si="42"/>
        <v>287.31099756692083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58.359901946548483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4.4871794871794863</v>
      </c>
      <c r="DO57" s="13">
        <f>IF('Données projet'!$A$166&gt;35,DO56+DN57-DW56,IF(A57&lt;'Données projet'!$A$166,$DL$205^A57,IF(A57='Données projet'!$A$166,'Données projet'!$B$166,DO56+DN57-DW56)))</f>
        <v>148.71794871794864</v>
      </c>
      <c r="DP57" s="18">
        <f>DO57*VLOOKUP('Données projet'!$B$14,Paramètres!$A$1:$I$89,3,0)*VLOOKUP('Données projet'!$B$14,Paramètres!$A$1:$I$89,5,0)</f>
        <v>155.43999999999994</v>
      </c>
      <c r="DQ57" s="14">
        <f t="shared" si="43"/>
        <v>39.81227029952759</v>
      </c>
      <c r="DR57" s="22">
        <f t="shared" si="16"/>
        <v>340.06437077167715</v>
      </c>
      <c r="DS57" s="62">
        <f t="shared" si="17"/>
        <v>590.71734457568823</v>
      </c>
      <c r="DT57" s="62">
        <f ca="1">AVERAGE(OFFSET($DS$3,0,0,'Données projet'!$E$14+1,1))-AVERAGE(OFFSET($H$3,0,0,'Données projet'!$E$14+1,1))</f>
        <v>431.19274104373625</v>
      </c>
      <c r="DU57" s="62">
        <f t="shared" si="44"/>
        <v>264.67919175178133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58.359901946548483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10.542307692307702</v>
      </c>
      <c r="EJ57" s="13">
        <f>IF('Données projet'!$A$192&gt;35,EJ56+EI57-ER56,IF(A57&lt;'Données projet'!$A$192,$EG$205^A57,IF(A57='Données projet'!$A$192,'Données projet'!$B$192,EJ56+EI57-ER56)))</f>
        <v>253.15769230769212</v>
      </c>
      <c r="EK57" s="18">
        <f>EJ57*VLOOKUP('Données projet'!$B$15,Paramètres!$A$1:$I$89,3,0)*VLOOKUP('Données projet'!$B$15,Paramètres!$A$1:$I$89,5,0)</f>
        <v>118.47779999999992</v>
      </c>
      <c r="EL57" s="14">
        <f t="shared" si="45"/>
        <v>31.319707790273014</v>
      </c>
      <c r="EM57" s="22">
        <f t="shared" si="19"/>
        <v>260.8973260680587</v>
      </c>
      <c r="EN57" s="62">
        <f t="shared" si="20"/>
        <v>511.55029987206984</v>
      </c>
      <c r="EO57" s="62">
        <f ca="1">AVERAGE(OFFSET($EN$3,0,0,'Données projet'!$E$15+1,1))-AVERAGE(OFFSET($H$3,0,0,'Données projet'!$E$15+1,1))</f>
        <v>291.68530745507815</v>
      </c>
      <c r="EP57" s="62">
        <f t="shared" si="46"/>
        <v>175.95121106728979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0</v>
      </c>
      <c r="EZ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58.359901946548483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4.5999999999999996</v>
      </c>
      <c r="FE57" s="13">
        <f>IF('Données projet'!$A$218&gt;35,FE56+FD57-FM56,IF(A57&lt;'Données projet'!$A$218,$FB$205^A57,IF(A57='Données projet'!$A$218,'Données projet'!$B$218,FE56+FD57-FM56)))</f>
        <v>172.39999999999986</v>
      </c>
      <c r="FF57" s="18">
        <f>FE57*VLOOKUP('Données projet'!$B$16,Paramètres!$A$1:$I$89,3,0)*VLOOKUP('Données projet'!$B$16,Paramètres!$A$1:$I$89,5,0)</f>
        <v>112.95647999999991</v>
      </c>
      <c r="FG57" s="14">
        <f t="shared" si="47"/>
        <v>30.026475458997005</v>
      </c>
      <c r="FH57" s="22">
        <f t="shared" si="22"/>
        <v>249.02864742441963</v>
      </c>
      <c r="FI57" s="62">
        <f t="shared" si="23"/>
        <v>499.6816212284308</v>
      </c>
      <c r="FJ57" s="62">
        <f ca="1">AVERAGE(OFFSET($FI$3,0,0,'Données projet'!$E$16+1,1))-AVERAGE(OFFSET($H$3,0,0,'Données projet'!$E$16+1,1))</f>
        <v>248.75689726928428</v>
      </c>
      <c r="FK57" s="62">
        <f t="shared" si="48"/>
        <v>232.02291680388336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projet'!$B$16,Paramètres!$A$1:$I$89,3,0)*0.475*44/12</f>
        <v>0</v>
      </c>
      <c r="FR57" s="23">
        <f>EXP(-LN(2)/25)*FR56+(1-EXP(-LN(2)/25))/(LN(2)/25)*Calculateur!FM57*Calculateur!FO57*VLOOKUP('Données projet'!$B$16,Paramètres!$A$1:$I$89,3,0)*0.475*44/12</f>
        <v>0</v>
      </c>
      <c r="FS57" s="23">
        <f>EXP(-LN(2)/2)*FS56+(1-EXP(-LN(2)/2))/(LN(2)/2)*FM57*FP57*VLOOKUP('Données projet'!$B$16,Paramètres!$A$1:$I$89,3,0)*0.475*44/12</f>
        <v>0</v>
      </c>
      <c r="FT57" s="24">
        <f t="shared" si="24"/>
        <v>0</v>
      </c>
      <c r="FU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58.359901946548483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15.75</v>
      </c>
      <c r="FZ57" s="13">
        <f>IF('Données projet'!$A$244&gt;35,FZ56+FY57-GH56,IF(A57&lt;'Données projet'!$A$244,$FW$205^A57,IF(A57='Données projet'!$A$244,'Données projet'!$B$244,FZ56+FY57-GH56)))</f>
        <v>260.74999999999989</v>
      </c>
      <c r="GA57" s="18">
        <f>FZ57*VLOOKUP('Données projet'!$B$17,Paramètres!$A$1:$I$89,3,0)*VLOOKUP('Données projet'!$B$17,Paramètres!$A$1:$I$89,5,0)</f>
        <v>155.92849999999993</v>
      </c>
      <c r="GB57" s="14">
        <f t="shared" si="49"/>
        <v>39.922804094929681</v>
      </c>
      <c r="GC57" s="22">
        <f t="shared" si="25"/>
        <v>341.10768796533574</v>
      </c>
      <c r="GD57" s="62">
        <f t="shared" si="26"/>
        <v>591.76066176934683</v>
      </c>
      <c r="GE57" s="62">
        <f ca="1">AVERAGE(OFFSET($GD$3,0,0,'Données projet'!$E$17+1,1))-AVERAGE(OFFSET($H$3,0,0,'Données projet'!$E$17+1,1))</f>
        <v>315.909549580511</v>
      </c>
      <c r="GF57" s="62">
        <f t="shared" si="50"/>
        <v>208.56856525402051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projet'!$B$17,Paramètres!$A$1:$I$89,3,0)*0.475*44/12</f>
        <v>0</v>
      </c>
      <c r="GM57" s="23">
        <f>EXP(-LN(2)/25)*GM56+(1-EXP(-LN(2)/25))/(LN(2)/25)*Calculateur!GH57*Calculateur!GJ57*VLOOKUP('Données projet'!$B$17,Paramètres!$A$1:$I$89,3,0)*0.475*44/12</f>
        <v>0</v>
      </c>
      <c r="GN57" s="23">
        <f>EXP(-LN(2)/2)*GN56+(1-EXP(-LN(2)/2))/(LN(2)/2)*GH57*GK57*VLOOKUP('Données projet'!$B$17,Paramètres!$A$1:$I$89,3,0)*0.475*44/12</f>
        <v>0</v>
      </c>
      <c r="GO57" s="23">
        <f t="shared" si="27"/>
        <v>0</v>
      </c>
      <c r="GP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58.359901946548483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4.3589743589743595</v>
      </c>
      <c r="GU57" s="13">
        <f>IF('Données projet'!$A$270&gt;35,GU56+GT57-HC56,IF(A57&lt;'Données projet'!$A$270,$GR$205^A57,IF(A57='Données projet'!$A$270,'Données projet'!$B$270,GU56+GT57-HC56)))</f>
        <v>142.43589743589749</v>
      </c>
      <c r="GV57" s="18">
        <f>GU57*VLOOKUP('Données projet'!$B$18,Paramètres!$A$1:$I$89,3,0)*VLOOKUP('Données projet'!$B$18,Paramètres!$A$1:$I$89,5,0)</f>
        <v>95.546000000000035</v>
      </c>
      <c r="GW57" s="14">
        <f t="shared" si="51"/>
        <v>25.898096147537128</v>
      </c>
      <c r="GX57" s="22">
        <f t="shared" si="28"/>
        <v>211.51513412362723</v>
      </c>
      <c r="GY57" s="62">
        <f t="shared" si="29"/>
        <v>462.1681079276384</v>
      </c>
      <c r="GZ57" s="62">
        <f ca="1">AVERAGE(OFFSET($GY$3,0,0,'Données projet'!$E$18+1,1))-AVERAGE(OFFSET($H$3,0,0,'Données projet'!$E$18+1,1))</f>
        <v>254.35742752782755</v>
      </c>
      <c r="HA57" s="62">
        <f t="shared" si="52"/>
        <v>171.79611712137395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>
        <f>EXP(-LN(2)/35)*HG56+(1-EXP(-LN(2)/35))/(LN(2)/35)*HC57*HD57*VLOOKUP('Données projet'!$B$18,Paramètres!$A$1:$I$89,3,0)*0.475*44/12</f>
        <v>0</v>
      </c>
      <c r="HH57" s="23">
        <f>EXP(-LN(2)/25)*HH56+(1-EXP(-LN(2)/25))/(LN(2)/25)*Calculateur!HC57*Calculateur!HE57*VLOOKUP('Données projet'!$B$18,Paramètres!$A$1:$I$89,3,0)*0.475*44/12</f>
        <v>0</v>
      </c>
      <c r="HI57" s="23">
        <f>EXP(-LN(2)/2)*HI56+(1-EXP(-LN(2)/2))/(LN(2)/2)*HC57*HF57*VLOOKUP('Données projet'!$B$18,Paramètres!$A$1:$I$89,3,0)*0.475*44/12</f>
        <v>0</v>
      </c>
      <c r="HJ57" s="24">
        <f t="shared" si="30"/>
        <v>0</v>
      </c>
    </row>
    <row r="58" spans="1:218" s="5" customFormat="1" x14ac:dyDescent="0.3">
      <c r="A58" s="11">
        <f t="shared" si="31"/>
        <v>55</v>
      </c>
      <c r="B58" s="76">
        <f>'Scénario référence'!$B$16*5+'Scénario référence'!$B$17*0+'Scénario référence'!$B$18*5</f>
        <v>3.9405000000000001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14.448500000000001</v>
      </c>
      <c r="H58" s="69">
        <f t="shared" si="1"/>
        <v>161.30656666666667</v>
      </c>
      <c r="I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58.561831624415206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4.9549450549450569</v>
      </c>
      <c r="N58" s="14">
        <f>IF('Données projet'!$A$36&gt;35,N57+M58-V57,IF(A58&lt;'Données projet'!$A$36,$K$205^A58,IF(A58='Données projet'!$A$36,'Données projet'!$B$36,N57+M58-V57)))</f>
        <v>128.18791208791214</v>
      </c>
      <c r="O58" s="14">
        <f>N58*VLOOKUP('Données projet'!$B$9,Paramètres!$A$1:$I$89,3,0)*VLOOKUP('Données projet'!$B$9,Paramètres!$A$1:$I$89,5,0)</f>
        <v>74.989928571428607</v>
      </c>
      <c r="P58" s="14">
        <f t="shared" si="33"/>
        <v>20.907623104191963</v>
      </c>
      <c r="Q58" s="22">
        <f t="shared" si="53"/>
        <v>167.02156916837251</v>
      </c>
      <c r="R58" s="62">
        <f t="shared" si="0"/>
        <v>418.41495179122825</v>
      </c>
      <c r="S58" s="62">
        <f ca="1">AVERAGE(OFFSET($R$3,0,0,'Données projet'!$E$9+1,1))-AVERAGE(OFFSET($H$3,0,0,'Données projet'!$E$9+1,1))</f>
        <v>210.54472399593521</v>
      </c>
      <c r="T58" s="62">
        <f t="shared" si="34"/>
        <v>181.14158435194193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58.561831624415206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225.5</v>
      </c>
      <c r="AG58" s="13">
        <f>VLOOKUP(A58,'Données projet'!$A$61:$I$81,9,0)</f>
        <v>3.2600000000000025</v>
      </c>
      <c r="AH58" s="13">
        <f t="array" ref="AH58">INDEX(AG:AG,MIN(IF(ISNUMBER(AG58:AG254),ROW(AG58:AG254),"")))</f>
        <v>3.2600000000000025</v>
      </c>
      <c r="AI58" s="14">
        <f>IF('Données projet'!$A$62&gt;35,AI57+AH58-AQ57,IF(A58&lt;'Données projet'!$A$62,$AF$205^A58,IF(A58='Données projet'!$A$62,'Données projet'!$B$62,AI57+AH58-AQ57)))</f>
        <v>225.50000000000006</v>
      </c>
      <c r="AJ58" s="14">
        <f>AI58*VLOOKUP('Données projet'!$B$10,Paramètres!$A$1:$I$89,3,0)*VLOOKUP('Données projet'!$B$10,Paramètres!$A$1:$I$89,5,0)</f>
        <v>117.26000000000005</v>
      </c>
      <c r="AK58" s="14">
        <f t="shared" si="35"/>
        <v>31.035082738664737</v>
      </c>
      <c r="AL58" s="22">
        <f t="shared" si="4"/>
        <v>258.28060243650776</v>
      </c>
      <c r="AM58" s="62">
        <f t="shared" si="5"/>
        <v>509.67398505936353</v>
      </c>
      <c r="AN58" s="62">
        <f ca="1">AVERAGE(OFFSET($AM$3,0,0,'Données projet'!$E$10+1,1))-AVERAGE(OFFSET($H$3,0,0,'Données projet'!$E$10+1,1))</f>
        <v>289.05608923588198</v>
      </c>
      <c r="AO58" s="62">
        <f t="shared" si="36"/>
        <v>220.06639020312738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58.561831624415206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1.7724999999999995</v>
      </c>
      <c r="BD58" s="13">
        <f>IF('Données projet'!$A$88&gt;35,BD57+BC58-BL57,IF(A58&lt;'Données projet'!$A$88,$BA$205^A58,IF(A58='Données projet'!$A$88,'Données projet'!$B$88,BD57+BC58-BL57)))</f>
        <v>75.5</v>
      </c>
      <c r="BE58" s="14">
        <f>BD58*VLOOKUP('Données projet'!$B$11,Paramètres!$A$1:$I$89,3,0)*VLOOKUP('Données projet'!$B$11,Paramètres!$A$1:$I$89,5,0)</f>
        <v>86.975999999999999</v>
      </c>
      <c r="BF58" s="14">
        <f t="shared" si="37"/>
        <v>23.834464663215773</v>
      </c>
      <c r="BG58" s="22">
        <f t="shared" si="7"/>
        <v>192.99489262176746</v>
      </c>
      <c r="BH58" s="62">
        <f t="shared" si="8"/>
        <v>444.38827524462317</v>
      </c>
      <c r="BI58" s="62">
        <f ca="1">AVERAGE(OFFSET($BH$3,0,0,'Données projet'!$E$11+1,1))-AVERAGE(OFFSET($H$3,0,0,'Données projet'!$E$11+1,1))</f>
        <v>299.54950406029354</v>
      </c>
      <c r="BJ58" s="62">
        <f t="shared" si="38"/>
        <v>208.26364698165739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58.561831624415206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153.2051282051282</v>
      </c>
      <c r="BW58" s="13">
        <f>VLOOKUP(A58,'Données projet'!$A$113:$I$133,9,0)</f>
        <v>4.4871794871794863</v>
      </c>
      <c r="BX58" s="13">
        <f t="array" ref="BX58">INDEX(BW:BW,MIN(IF(ISNUMBER(BW58:BW254),ROW(BW58:BW254),"")))</f>
        <v>4.4871794871794863</v>
      </c>
      <c r="BY58" s="13">
        <f>IF('Données projet'!$A$114&gt;35,BY57+BX58-CG57,IF(A58&lt;'Données projet'!$A$114,$BV$205^A58,IF(A58='Données projet'!$A$114,'Données projet'!$B$114,BY57+BX58-CG57)))</f>
        <v>153.20512820512812</v>
      </c>
      <c r="BZ58" s="14">
        <f>BY58*VLOOKUP('Données projet'!$B$12,Paramètres!$A$1:$I$89,3,0)*VLOOKUP('Données projet'!$B$12,Paramètres!$A$1:$I$89,5,0)</f>
        <v>164.90999999999991</v>
      </c>
      <c r="CA58" s="14">
        <f t="shared" si="39"/>
        <v>41.948023895164205</v>
      </c>
      <c r="CB58" s="22">
        <f t="shared" si="10"/>
        <v>360.27772495074413</v>
      </c>
      <c r="CC58" s="62">
        <f t="shared" si="11"/>
        <v>611.6711075735999</v>
      </c>
      <c r="CD58" s="62">
        <f ca="1">AVERAGE(OFFSET($CC$3,0,0,'Données projet'!$E$12+1,1))-AVERAGE(OFFSET($H$3,0,0,'Données projet'!$E$12+1,1))</f>
        <v>441.30518831297212</v>
      </c>
      <c r="CE58" s="62">
        <f t="shared" si="40"/>
        <v>270.42872405271851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58.561831624415206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198</v>
      </c>
      <c r="CR58" s="13">
        <f>VLOOKUP(A58,'Données projet'!$A$139:$I$159,9,0)</f>
        <v>4.8</v>
      </c>
      <c r="CS58" s="13">
        <f t="array" ref="CS58">INDEX(CR:CR,MIN(IF(ISNUMBER(CR58:CR254),ROW(CR58:CR254),"")))</f>
        <v>4.8</v>
      </c>
      <c r="CT58" s="13">
        <f>IF('Données projet'!$A$140&gt;35,CT57+CS58-DB57,IF(A58&lt;'Données projet'!$A$140,$CQ$205^A58,IF(A58='Données projet'!$A$140,'Données projet'!$B$140,CT57+CS58-DB57)))</f>
        <v>198</v>
      </c>
      <c r="CU58" s="18">
        <f>CT58*VLOOKUP('Données projet'!$B$13,Paramètres!$A$1:$I$89,3,0)*VLOOKUP('Données projet'!$B$13,Paramètres!$A$1:$I$89,5,0)</f>
        <v>172.97280000000003</v>
      </c>
      <c r="CV58" s="14">
        <f t="shared" si="41"/>
        <v>43.75515863819728</v>
      </c>
      <c r="CW58" s="22">
        <f t="shared" si="13"/>
        <v>377.46786129486031</v>
      </c>
      <c r="CX58" s="62">
        <f t="shared" si="14"/>
        <v>628.86124391771602</v>
      </c>
      <c r="CY58" s="62">
        <f ca="1">AVERAGE(OFFSET($CX$3,0,0,'Données projet'!$E$13+1,1))-AVERAGE(OFFSET($H$3,0,0,'Données projet'!$E$13+1,1))</f>
        <v>310.81258463659196</v>
      </c>
      <c r="CZ58" s="62">
        <f t="shared" si="42"/>
        <v>287.31099756692083</v>
      </c>
      <c r="DA58" s="16">
        <f>IF(ISNA(VLOOKUP(A58,'Données projet'!$A$139:$I$159,3,0)),0,VLOOKUP(A58,'Données projet'!$A$139:$I$159,3,0))</f>
        <v>4</v>
      </c>
      <c r="DB58" s="16">
        <f>IF(ISNA(VLOOKUP(A58,'Données projet'!$A$139:$I$159,4,0)),0,VLOOKUP(A58,'Données projet'!$A$139:$I$159,4,0))</f>
        <v>24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58.561831624415206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153.2051282051282</v>
      </c>
      <c r="DM58" s="13">
        <f>VLOOKUP(A58,'Données projet'!$A$165:$I$185,9,0)</f>
        <v>4.4871794871794863</v>
      </c>
      <c r="DN58" s="13">
        <f t="array" ref="DN58">INDEX(DM:DM,MIN(IF(ISNUMBER(DM58:DM254),ROW(DM58:DM254),"")))</f>
        <v>4.4871794871794863</v>
      </c>
      <c r="DO58" s="13">
        <f>IF('Données projet'!$A$166&gt;35,DO57+DN58-DW57,IF(A58&lt;'Données projet'!$A$166,$DL$205^A58,IF(A58='Données projet'!$A$166,'Données projet'!$B$166,DO57+DN58-DW57)))</f>
        <v>153.20512820512812</v>
      </c>
      <c r="DP58" s="18">
        <f>DO58*VLOOKUP('Données projet'!$B$14,Paramètres!$A$1:$I$89,3,0)*VLOOKUP('Données projet'!$B$14,Paramètres!$A$1:$I$89,5,0)</f>
        <v>160.12999999999991</v>
      </c>
      <c r="DQ58" s="14">
        <f t="shared" si="43"/>
        <v>40.871835883430627</v>
      </c>
      <c r="DR58" s="22">
        <f t="shared" si="16"/>
        <v>350.07819749697484</v>
      </c>
      <c r="DS58" s="62">
        <f t="shared" si="17"/>
        <v>601.47158011983061</v>
      </c>
      <c r="DT58" s="62">
        <f ca="1">AVERAGE(OFFSET($DS$3,0,0,'Données projet'!$E$14+1,1))-AVERAGE(OFFSET($H$3,0,0,'Données projet'!$E$14+1,1))</f>
        <v>431.19274104373625</v>
      </c>
      <c r="DU58" s="62">
        <f t="shared" si="44"/>
        <v>264.67919175178133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58.561831624415206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10.542307692307702</v>
      </c>
      <c r="EJ58" s="13">
        <f>IF('Données projet'!$A$192&gt;35,EJ57+EI58-ER57,IF(A58&lt;'Données projet'!$A$192,$EG$205^A58,IF(A58='Données projet'!$A$192,'Données projet'!$B$192,EJ57+EI58-ER57)))</f>
        <v>263.69999999999982</v>
      </c>
      <c r="EK58" s="18">
        <f>EJ58*VLOOKUP('Données projet'!$B$15,Paramètres!$A$1:$I$89,3,0)*VLOOKUP('Données projet'!$B$15,Paramètres!$A$1:$I$89,5,0)</f>
        <v>123.41159999999991</v>
      </c>
      <c r="EL58" s="14">
        <f t="shared" si="45"/>
        <v>32.46939610718038</v>
      </c>
      <c r="EM58" s="22">
        <f t="shared" si="19"/>
        <v>271.49273488667239</v>
      </c>
      <c r="EN58" s="62">
        <f t="shared" si="20"/>
        <v>522.88611750952816</v>
      </c>
      <c r="EO58" s="62">
        <f ca="1">AVERAGE(OFFSET($EN$3,0,0,'Données projet'!$E$15+1,1))-AVERAGE(OFFSET($H$3,0,0,'Données projet'!$E$15+1,1))</f>
        <v>291.68530745507815</v>
      </c>
      <c r="EP58" s="62">
        <f t="shared" si="46"/>
        <v>175.95121106728979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0</v>
      </c>
      <c r="EZ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58.561831624415206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>
        <f>VLOOKUP(A58,'Données projet'!$A$217:$I$237,2,0)</f>
        <v>177</v>
      </c>
      <c r="FC58" s="13">
        <f>VLOOKUP(A58,'Données projet'!$A$217:$I$237,9,0)</f>
        <v>4.5999999999999996</v>
      </c>
      <c r="FD58" s="13">
        <f t="array" ref="FD58">INDEX(FC:FC,MIN(IF(ISNUMBER(FC58:FC254),ROW(FC58:FC254),"")))</f>
        <v>4.5999999999999996</v>
      </c>
      <c r="FE58" s="13">
        <f>IF('Données projet'!$A$218&gt;35,FE57+FD58-FM57,IF(A58&lt;'Données projet'!$A$218,$FB$205^A58,IF(A58='Données projet'!$A$218,'Données projet'!$B$218,FE57+FD58-FM57)))</f>
        <v>176.99999999999986</v>
      </c>
      <c r="FF58" s="18">
        <f>FE58*VLOOKUP('Données projet'!$B$16,Paramètres!$A$1:$I$89,3,0)*VLOOKUP('Données projet'!$B$16,Paramètres!$A$1:$I$89,5,0)</f>
        <v>115.9703999999999</v>
      </c>
      <c r="FG58" s="14">
        <f t="shared" si="47"/>
        <v>30.733301120222766</v>
      </c>
      <c r="FH58" s="22">
        <f t="shared" si="22"/>
        <v>255.50894611772114</v>
      </c>
      <c r="FI58" s="62">
        <f t="shared" si="23"/>
        <v>506.90232874057688</v>
      </c>
      <c r="FJ58" s="62">
        <f ca="1">AVERAGE(OFFSET($FI$3,0,0,'Données projet'!$E$16+1,1))-AVERAGE(OFFSET($H$3,0,0,'Données projet'!$E$16+1,1))</f>
        <v>248.75689726928428</v>
      </c>
      <c r="FK58" s="62">
        <f t="shared" si="48"/>
        <v>232.02291680388336</v>
      </c>
      <c r="FL58" s="16">
        <f>IF(ISNA(VLOOKUP(A58,'Données projet'!$A$217:$I$237,3,0)),0,VLOOKUP(A58,'Données projet'!$A$217:$I$237,3,0))</f>
        <v>4</v>
      </c>
      <c r="FM58" s="16">
        <f>IF(ISNA(VLOOKUP(A58,'Données projet'!$A$217:$I$237,4,0)),0,VLOOKUP(A58,'Données projet'!$A$217:$I$237,4,0))</f>
        <v>35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projet'!$B$16,Paramètres!$A$1:$I$89,3,0)*0.475*44/12</f>
        <v>0</v>
      </c>
      <c r="FR58" s="23">
        <f>EXP(-LN(2)/25)*FR57+(1-EXP(-LN(2)/25))/(LN(2)/25)*Calculateur!FM58*Calculateur!FO58*VLOOKUP('Données projet'!$B$16,Paramètres!$A$1:$I$89,3,0)*0.475*44/12</f>
        <v>0</v>
      </c>
      <c r="FS58" s="23">
        <f>EXP(-LN(2)/2)*FS57+(1-EXP(-LN(2)/2))/(LN(2)/2)*FM58*FP58*VLOOKUP('Données projet'!$B$16,Paramètres!$A$1:$I$89,3,0)*0.475*44/12</f>
        <v>0</v>
      </c>
      <c r="FT58" s="24">
        <f t="shared" si="24"/>
        <v>0</v>
      </c>
      <c r="FU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58.561831624415206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15.75</v>
      </c>
      <c r="FZ58" s="13">
        <f>IF('Données projet'!$A$244&gt;35,FZ57+FY58-GH57,IF(A58&lt;'Données projet'!$A$244,$FW$205^A58,IF(A58='Données projet'!$A$244,'Données projet'!$B$244,FZ57+FY58-GH57)))</f>
        <v>276.49999999999989</v>
      </c>
      <c r="GA58" s="18">
        <f>FZ58*VLOOKUP('Données projet'!$B$17,Paramètres!$A$1:$I$89,3,0)*VLOOKUP('Données projet'!$B$17,Paramètres!$A$1:$I$89,5,0)</f>
        <v>165.34699999999995</v>
      </c>
      <c r="GB58" s="14">
        <f t="shared" si="49"/>
        <v>42.046229153073355</v>
      </c>
      <c r="GC58" s="22">
        <f t="shared" si="25"/>
        <v>361.20987410826933</v>
      </c>
      <c r="GD58" s="62">
        <f t="shared" si="26"/>
        <v>612.60325673112504</v>
      </c>
      <c r="GE58" s="62">
        <f ca="1">AVERAGE(OFFSET($GD$3,0,0,'Données projet'!$E$17+1,1))-AVERAGE(OFFSET($H$3,0,0,'Données projet'!$E$17+1,1))</f>
        <v>315.909549580511</v>
      </c>
      <c r="GF58" s="62">
        <f t="shared" si="50"/>
        <v>208.56856525402051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>
        <f>EXP(-LN(2)/35)*GL57+(1-EXP(-LN(2)/35))/(LN(2)/35)*GH58*GI58*VLOOKUP('Données projet'!$B$17,Paramètres!$A$1:$I$89,3,0)*0.475*44/12</f>
        <v>0</v>
      </c>
      <c r="GM58" s="23">
        <f>EXP(-LN(2)/25)*GM57+(1-EXP(-LN(2)/25))/(LN(2)/25)*Calculateur!GH58*Calculateur!GJ58*VLOOKUP('Données projet'!$B$17,Paramètres!$A$1:$I$89,3,0)*0.475*44/12</f>
        <v>0</v>
      </c>
      <c r="GN58" s="23">
        <f>EXP(-LN(2)/2)*GN57+(1-EXP(-LN(2)/2))/(LN(2)/2)*GH58*GK58*VLOOKUP('Données projet'!$B$17,Paramètres!$A$1:$I$89,3,0)*0.475*44/12</f>
        <v>0</v>
      </c>
      <c r="GO58" s="23">
        <f t="shared" si="27"/>
        <v>0</v>
      </c>
      <c r="GP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58.561831624415206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>
        <f>VLOOKUP(A58,'Données projet'!$A$269:$I$289,2,0)</f>
        <v>146.7948717948718</v>
      </c>
      <c r="GS58" s="13">
        <f>VLOOKUP(A58,'Données projet'!$A$269:$I$289,9,0)</f>
        <v>4.3589743589743595</v>
      </c>
      <c r="GT58" s="13">
        <f t="array" ref="GT58">INDEX(GS:GS,MIN(IF(ISNUMBER(GS58:GS254),ROW(GS58:GS254),"")))</f>
        <v>4.3589743589743595</v>
      </c>
      <c r="GU58" s="13">
        <f>IF('Données projet'!$A$270&gt;35,GU57+GT58-HC57,IF(A58&lt;'Données projet'!$A$270,$GR$205^A58,IF(A58='Données projet'!$A$270,'Données projet'!$B$270,GU57+GT58-HC57)))</f>
        <v>146.79487179487185</v>
      </c>
      <c r="GV58" s="18">
        <f>GU58*VLOOKUP('Données projet'!$B$18,Paramètres!$A$1:$I$89,3,0)*VLOOKUP('Données projet'!$B$18,Paramètres!$A$1:$I$89,5,0)</f>
        <v>98.470000000000041</v>
      </c>
      <c r="GW58" s="14">
        <f t="shared" si="51"/>
        <v>26.597169709505504</v>
      </c>
      <c r="GX58" s="22">
        <f t="shared" si="28"/>
        <v>217.82532057738879</v>
      </c>
      <c r="GY58" s="62">
        <f t="shared" si="29"/>
        <v>469.21870320024453</v>
      </c>
      <c r="GZ58" s="62">
        <f ca="1">AVERAGE(OFFSET($GY$3,0,0,'Données projet'!$E$18+1,1))-AVERAGE(OFFSET($H$3,0,0,'Données projet'!$E$18+1,1))</f>
        <v>254.35742752782755</v>
      </c>
      <c r="HA58" s="62">
        <f t="shared" si="52"/>
        <v>171.79611712137395</v>
      </c>
      <c r="HB58" s="16">
        <f>IF(ISNA(VLOOKUP(A58,'Données projet'!$A$269:$I$289,3,0)),0,VLOOKUP(A58,'Données projet'!$A$269:$I$289,3,0))</f>
        <v>4</v>
      </c>
      <c r="HC58" s="16">
        <f>IF(ISNA(VLOOKUP(A58,'Données projet'!$A$269:$I$289,4,0)),0,VLOOKUP(A58,'Données projet'!$A$269:$I$289,4,0))</f>
        <v>21.794871794871796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>
        <f>EXP(-LN(2)/35)*HG57+(1-EXP(-LN(2)/35))/(LN(2)/35)*HC58*HD58*VLOOKUP('Données projet'!$B$18,Paramètres!$A$1:$I$89,3,0)*0.475*44/12</f>
        <v>0</v>
      </c>
      <c r="HH58" s="23">
        <f>EXP(-LN(2)/25)*HH57+(1-EXP(-LN(2)/25))/(LN(2)/25)*Calculateur!HC58*Calculateur!HE58*VLOOKUP('Données projet'!$B$18,Paramètres!$A$1:$I$89,3,0)*0.475*44/12</f>
        <v>0</v>
      </c>
      <c r="HI58" s="23">
        <f>EXP(-LN(2)/2)*HI57+(1-EXP(-LN(2)/2))/(LN(2)/2)*HC58*HF58*VLOOKUP('Données projet'!$B$18,Paramètres!$A$1:$I$89,3,0)*0.475*44/12</f>
        <v>0</v>
      </c>
      <c r="HJ58" s="24">
        <f t="shared" si="30"/>
        <v>0</v>
      </c>
    </row>
    <row r="59" spans="1:218" s="5" customFormat="1" x14ac:dyDescent="0.3">
      <c r="A59" s="11">
        <f t="shared" si="31"/>
        <v>56</v>
      </c>
      <c r="B59" s="76">
        <f>'Scénario référence'!$B$16*5+'Scénario référence'!$B$17*0+'Scénario référence'!$B$18*5</f>
        <v>3.9405000000000001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14.448500000000001</v>
      </c>
      <c r="H59" s="69">
        <f t="shared" si="1"/>
        <v>161.30656666666667</v>
      </c>
      <c r="I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58.76025827381806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4.9549450549450569</v>
      </c>
      <c r="N59" s="14">
        <f>IF('Données projet'!$A$36&gt;35,N58+M59-V58,IF(A59&lt;'Données projet'!$A$36,$K$205^A59,IF(A59='Données projet'!$A$36,'Données projet'!$B$36,N58+M59-V58)))</f>
        <v>133.1428571428572</v>
      </c>
      <c r="O59" s="14">
        <f>N59*VLOOKUP('Données projet'!$B$9,Paramètres!$A$1:$I$89,3,0)*VLOOKUP('Données projet'!$B$9,Paramètres!$A$1:$I$89,5,0)</f>
        <v>77.888571428571467</v>
      </c>
      <c r="P59" s="14">
        <f t="shared" si="33"/>
        <v>21.620127965814167</v>
      </c>
      <c r="Q59" s="22">
        <f t="shared" si="53"/>
        <v>173.31098477855497</v>
      </c>
      <c r="R59" s="62">
        <f t="shared" si="0"/>
        <v>425.43193178255456</v>
      </c>
      <c r="S59" s="62">
        <f ca="1">AVERAGE(OFFSET($R$3,0,0,'Données projet'!$E$9+1,1))-AVERAGE(OFFSET($H$3,0,0,'Données projet'!$E$9+1,1))</f>
        <v>210.54472399593521</v>
      </c>
      <c r="T59" s="62">
        <f t="shared" si="34"/>
        <v>181.14158435194193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58.76025827381806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3</v>
      </c>
      <c r="AI59" s="14">
        <f>IF('Données projet'!$A$62&gt;35,AI58+AH59-AQ58,IF(A59&lt;'Données projet'!$A$62,$AF$205^A59,IF(A59='Données projet'!$A$62,'Données projet'!$B$62,AI58+AH59-AQ58)))</f>
        <v>228.50000000000006</v>
      </c>
      <c r="AJ59" s="14">
        <f>AI59*VLOOKUP('Données projet'!$B$10,Paramètres!$A$1:$I$89,3,0)*VLOOKUP('Données projet'!$B$10,Paramètres!$A$1:$I$89,5,0)</f>
        <v>118.82000000000005</v>
      </c>
      <c r="AK59" s="14">
        <f t="shared" si="35"/>
        <v>31.399625586642003</v>
      </c>
      <c r="AL59" s="22">
        <f t="shared" si="4"/>
        <v>261.63251456340157</v>
      </c>
      <c r="AM59" s="62">
        <f t="shared" si="5"/>
        <v>513.75346156740113</v>
      </c>
      <c r="AN59" s="62">
        <f ca="1">AVERAGE(OFFSET($AM$3,0,0,'Données projet'!$E$10+1,1))-AVERAGE(OFFSET($H$3,0,0,'Données projet'!$E$10+1,1))</f>
        <v>289.05608923588198</v>
      </c>
      <c r="AO59" s="62">
        <f t="shared" si="36"/>
        <v>220.06639020312738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58.76025827381806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1.7724999999999995</v>
      </c>
      <c r="BD59" s="13">
        <f>IF('Données projet'!$A$88&gt;35,BD58+BC59-BL58,IF(A59&lt;'Données projet'!$A$88,$BA$205^A59,IF(A59='Données projet'!$A$88,'Données projet'!$B$88,BD58+BC59-BL58)))</f>
        <v>77.272499999999994</v>
      </c>
      <c r="BE59" s="14">
        <f>BD59*VLOOKUP('Données projet'!$B$11,Paramètres!$A$1:$I$89,3,0)*VLOOKUP('Données projet'!$B$11,Paramètres!$A$1:$I$89,5,0)</f>
        <v>89.017919999999989</v>
      </c>
      <c r="BF59" s="14">
        <f t="shared" si="37"/>
        <v>24.328219911088187</v>
      </c>
      <c r="BG59" s="22">
        <f t="shared" si="7"/>
        <v>197.41119367847855</v>
      </c>
      <c r="BH59" s="62">
        <f t="shared" si="8"/>
        <v>449.53214068247814</v>
      </c>
      <c r="BI59" s="62">
        <f ca="1">AVERAGE(OFFSET($BH$3,0,0,'Données projet'!$E$11+1,1))-AVERAGE(OFFSET($H$3,0,0,'Données projet'!$E$11+1,1))</f>
        <v>299.54950406029354</v>
      </c>
      <c r="BJ59" s="62">
        <f t="shared" si="38"/>
        <v>208.26364698165739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58.76025827381806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4.2307692307692317</v>
      </c>
      <c r="BY59" s="13">
        <f>IF('Données projet'!$A$114&gt;35,BY58+BX59-CG58,IF(A59&lt;'Données projet'!$A$114,$BV$205^A59,IF(A59='Données projet'!$A$114,'Données projet'!$B$114,BY58+BX59-CG58)))</f>
        <v>157.43589743589735</v>
      </c>
      <c r="BZ59" s="14">
        <f>BY59*VLOOKUP('Données projet'!$B$12,Paramètres!$A$1:$I$89,3,0)*VLOOKUP('Données projet'!$B$12,Paramètres!$A$1:$I$89,5,0)</f>
        <v>169.46399999999988</v>
      </c>
      <c r="CA59" s="14">
        <f t="shared" si="39"/>
        <v>42.96995536119595</v>
      </c>
      <c r="CB59" s="22">
        <f t="shared" si="10"/>
        <v>369.98913892074944</v>
      </c>
      <c r="CC59" s="62">
        <f t="shared" si="11"/>
        <v>622.110085924749</v>
      </c>
      <c r="CD59" s="62">
        <f ca="1">AVERAGE(OFFSET($CC$3,0,0,'Données projet'!$E$12+1,1))-AVERAGE(OFFSET($H$3,0,0,'Données projet'!$E$12+1,1))</f>
        <v>441.30518831297212</v>
      </c>
      <c r="CE59" s="62">
        <f t="shared" si="40"/>
        <v>270.42872405271851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58.76025827381806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4.2</v>
      </c>
      <c r="CT59" s="13">
        <f>IF('Données projet'!$A$140&gt;35,CT58+CS59-DB58,IF(A59&lt;'Données projet'!$A$140,$CQ$205^A59,IF(A59='Données projet'!$A$140,'Données projet'!$B$140,CT58+CS59-DB58)))</f>
        <v>178.2</v>
      </c>
      <c r="CU59" s="18">
        <f>CT59*VLOOKUP('Données projet'!$B$13,Paramètres!$A$1:$I$89,3,0)*VLOOKUP('Données projet'!$B$13,Paramètres!$A$1:$I$89,5,0)</f>
        <v>155.67552000000001</v>
      </c>
      <c r="CV59" s="14">
        <f t="shared" si="41"/>
        <v>39.865566884055099</v>
      </c>
      <c r="CW59" s="22">
        <f t="shared" si="13"/>
        <v>340.56739298972934</v>
      </c>
      <c r="CX59" s="62">
        <f t="shared" si="14"/>
        <v>592.68833999372896</v>
      </c>
      <c r="CY59" s="62">
        <f ca="1">AVERAGE(OFFSET($CX$3,0,0,'Données projet'!$E$13+1,1))-AVERAGE(OFFSET($H$3,0,0,'Données projet'!$E$13+1,1))</f>
        <v>310.81258463659196</v>
      </c>
      <c r="CZ59" s="62">
        <f t="shared" si="42"/>
        <v>287.31099756692083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58.76025827381806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4.2307692307692317</v>
      </c>
      <c r="DO59" s="13">
        <f>IF('Données projet'!$A$166&gt;35,DO58+DN59-DW58,IF(A59&lt;'Données projet'!$A$166,$DL$205^A59,IF(A59='Données projet'!$A$166,'Données projet'!$B$166,DO58+DN59-DW58)))</f>
        <v>157.43589743589735</v>
      </c>
      <c r="DP59" s="18">
        <f>DO59*VLOOKUP('Données projet'!$B$14,Paramètres!$A$1:$I$89,3,0)*VLOOKUP('Données projet'!$B$14,Paramètres!$A$1:$I$89,5,0)</f>
        <v>164.55199999999994</v>
      </c>
      <c r="DQ59" s="14">
        <f t="shared" si="43"/>
        <v>41.867549418546126</v>
      </c>
      <c r="DR59" s="22">
        <f t="shared" si="16"/>
        <v>359.51404857063443</v>
      </c>
      <c r="DS59" s="62">
        <f t="shared" si="17"/>
        <v>611.63499557463399</v>
      </c>
      <c r="DT59" s="62">
        <f ca="1">AVERAGE(OFFSET($DS$3,0,0,'Données projet'!$E$14+1,1))-AVERAGE(OFFSET($H$3,0,0,'Données projet'!$E$14+1,1))</f>
        <v>431.19274104373625</v>
      </c>
      <c r="DU59" s="62">
        <f t="shared" si="44"/>
        <v>264.67919175178133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58.76025827381806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10.542307692307702</v>
      </c>
      <c r="EJ59" s="13">
        <f>IF('Données projet'!$A$192&gt;35,EJ58+EI59-ER58,IF(A59&lt;'Données projet'!$A$192,$EG$205^A59,IF(A59='Données projet'!$A$192,'Données projet'!$B$192,EJ58+EI59-ER58)))</f>
        <v>274.24230769230752</v>
      </c>
      <c r="EK59" s="18">
        <f>EJ59*VLOOKUP('Données projet'!$B$15,Paramètres!$A$1:$I$89,3,0)*VLOOKUP('Données projet'!$B$15,Paramètres!$A$1:$I$89,5,0)</f>
        <v>128.34539999999993</v>
      </c>
      <c r="EL59" s="14">
        <f t="shared" si="45"/>
        <v>33.61374529088544</v>
      </c>
      <c r="EM59" s="22">
        <f t="shared" si="19"/>
        <v>282.07884471495868</v>
      </c>
      <c r="EN59" s="62">
        <f t="shared" si="20"/>
        <v>534.19979171895829</v>
      </c>
      <c r="EO59" s="62">
        <f ca="1">AVERAGE(OFFSET($EN$3,0,0,'Données projet'!$E$15+1,1))-AVERAGE(OFFSET($H$3,0,0,'Données projet'!$E$15+1,1))</f>
        <v>291.68530745507815</v>
      </c>
      <c r="EP59" s="62">
        <f t="shared" si="46"/>
        <v>175.95121106728979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0</v>
      </c>
      <c r="EZ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58.76025827381806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4.5999999999999996</v>
      </c>
      <c r="FE59" s="13">
        <f>IF('Données projet'!$A$218&gt;35,FE58+FD59-FM58,IF(A59&lt;'Données projet'!$A$218,$FB$205^A59,IF(A59='Données projet'!$A$218,'Données projet'!$B$218,FE58+FD59-FM58)))</f>
        <v>146.59999999999985</v>
      </c>
      <c r="FF59" s="18">
        <f>FE59*VLOOKUP('Données projet'!$B$16,Paramètres!$A$1:$I$89,3,0)*VLOOKUP('Données projet'!$B$16,Paramètres!$A$1:$I$89,5,0)</f>
        <v>96.052319999999909</v>
      </c>
      <c r="FG59" s="14">
        <f t="shared" si="47"/>
        <v>26.019324001860227</v>
      </c>
      <c r="FH59" s="22">
        <f t="shared" si="22"/>
        <v>212.60811330323972</v>
      </c>
      <c r="FI59" s="62">
        <f t="shared" si="23"/>
        <v>464.72906030723931</v>
      </c>
      <c r="FJ59" s="62">
        <f ca="1">AVERAGE(OFFSET($FI$3,0,0,'Données projet'!$E$16+1,1))-AVERAGE(OFFSET($H$3,0,0,'Données projet'!$E$16+1,1))</f>
        <v>248.75689726928428</v>
      </c>
      <c r="FK59" s="62">
        <f t="shared" si="48"/>
        <v>232.02291680388336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projet'!$B$16,Paramètres!$A$1:$I$89,3,0)*0.475*44/12</f>
        <v>0</v>
      </c>
      <c r="FR59" s="23">
        <f>EXP(-LN(2)/25)*FR58+(1-EXP(-LN(2)/25))/(LN(2)/25)*Calculateur!FM59*Calculateur!FO59*VLOOKUP('Données projet'!$B$16,Paramètres!$A$1:$I$89,3,0)*0.475*44/12</f>
        <v>0</v>
      </c>
      <c r="FS59" s="23">
        <f>EXP(-LN(2)/2)*FS58+(1-EXP(-LN(2)/2))/(LN(2)/2)*FM59*FP59*VLOOKUP('Données projet'!$B$16,Paramètres!$A$1:$I$89,3,0)*0.475*44/12</f>
        <v>0</v>
      </c>
      <c r="FT59" s="24">
        <f t="shared" si="24"/>
        <v>0</v>
      </c>
      <c r="FU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58.76025827381806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15.75</v>
      </c>
      <c r="FZ59" s="13">
        <f>IF('Données projet'!$A$244&gt;35,FZ58+FY59-GH58,IF(A59&lt;'Données projet'!$A$244,$FW$205^A59,IF(A59='Données projet'!$A$244,'Données projet'!$B$244,FZ58+FY59-GH58)))</f>
        <v>292.24999999999989</v>
      </c>
      <c r="GA59" s="18">
        <f>FZ59*VLOOKUP('Données projet'!$B$17,Paramètres!$A$1:$I$89,3,0)*VLOOKUP('Données projet'!$B$17,Paramètres!$A$1:$I$89,5,0)</f>
        <v>174.76549999999995</v>
      </c>
      <c r="GB59" s="14">
        <f t="shared" si="49"/>
        <v>44.155613654230727</v>
      </c>
      <c r="GC59" s="22">
        <f t="shared" si="25"/>
        <v>381.28760628111837</v>
      </c>
      <c r="GD59" s="62">
        <f t="shared" si="26"/>
        <v>633.40855328511793</v>
      </c>
      <c r="GE59" s="62">
        <f ca="1">AVERAGE(OFFSET($GD$3,0,0,'Données projet'!$E$17+1,1))-AVERAGE(OFFSET($H$3,0,0,'Données projet'!$E$17+1,1))</f>
        <v>315.909549580511</v>
      </c>
      <c r="GF59" s="62">
        <f t="shared" si="50"/>
        <v>208.56856525402051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projet'!$B$17,Paramètres!$A$1:$I$89,3,0)*0.475*44/12</f>
        <v>0</v>
      </c>
      <c r="GM59" s="23">
        <f>EXP(-LN(2)/25)*GM58+(1-EXP(-LN(2)/25))/(LN(2)/25)*Calculateur!GH59*Calculateur!GJ59*VLOOKUP('Données projet'!$B$17,Paramètres!$A$1:$I$89,3,0)*0.475*44/12</f>
        <v>0</v>
      </c>
      <c r="GN59" s="23">
        <f>EXP(-LN(2)/2)*GN58+(1-EXP(-LN(2)/2))/(LN(2)/2)*GH59*GK59*VLOOKUP('Données projet'!$B$17,Paramètres!$A$1:$I$89,3,0)*0.475*44/12</f>
        <v>0</v>
      </c>
      <c r="GO59" s="23">
        <f t="shared" si="27"/>
        <v>0</v>
      </c>
      <c r="GP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58.76025827381806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3.9743589743589722</v>
      </c>
      <c r="GU59" s="13">
        <f>IF('Données projet'!$A$270&gt;35,GU58+GT59-HC58,IF(A59&lt;'Données projet'!$A$270,$GR$205^A59,IF(A59='Données projet'!$A$270,'Données projet'!$B$270,GU58+GT59-HC58)))</f>
        <v>128.97435897435903</v>
      </c>
      <c r="GV59" s="18">
        <f>GU59*VLOOKUP('Données projet'!$B$18,Paramètres!$A$1:$I$89,3,0)*VLOOKUP('Données projet'!$B$18,Paramètres!$A$1:$I$89,5,0)</f>
        <v>86.516000000000048</v>
      </c>
      <c r="GW59" s="14">
        <f t="shared" si="51"/>
        <v>23.723047157187409</v>
      </c>
      <c r="GX59" s="22">
        <f t="shared" si="28"/>
        <v>191.99967379876816</v>
      </c>
      <c r="GY59" s="62">
        <f t="shared" si="29"/>
        <v>444.12062080276775</v>
      </c>
      <c r="GZ59" s="62">
        <f ca="1">AVERAGE(OFFSET($GY$3,0,0,'Données projet'!$E$18+1,1))-AVERAGE(OFFSET($H$3,0,0,'Données projet'!$E$18+1,1))</f>
        <v>254.35742752782755</v>
      </c>
      <c r="HA59" s="62">
        <f t="shared" si="52"/>
        <v>171.79611712137395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>
        <f>EXP(-LN(2)/35)*HG58+(1-EXP(-LN(2)/35))/(LN(2)/35)*HC59*HD59*VLOOKUP('Données projet'!$B$18,Paramètres!$A$1:$I$89,3,0)*0.475*44/12</f>
        <v>0</v>
      </c>
      <c r="HH59" s="23">
        <f>EXP(-LN(2)/25)*HH58+(1-EXP(-LN(2)/25))/(LN(2)/25)*Calculateur!HC59*Calculateur!HE59*VLOOKUP('Données projet'!$B$18,Paramètres!$A$1:$I$89,3,0)*0.475*44/12</f>
        <v>0</v>
      </c>
      <c r="HI59" s="23">
        <f>EXP(-LN(2)/2)*HI58+(1-EXP(-LN(2)/2))/(LN(2)/2)*HC59*HF59*VLOOKUP('Données projet'!$B$18,Paramètres!$A$1:$I$89,3,0)*0.475*44/12</f>
        <v>0</v>
      </c>
      <c r="HJ59" s="24">
        <f t="shared" si="30"/>
        <v>0</v>
      </c>
    </row>
    <row r="60" spans="1:218" s="5" customFormat="1" x14ac:dyDescent="0.3">
      <c r="A60" s="11">
        <f t="shared" si="31"/>
        <v>57</v>
      </c>
      <c r="B60" s="76">
        <f>'Scénario référence'!$B$16*5+'Scénario référence'!$B$17*0+'Scénario référence'!$B$18*5</f>
        <v>3.9405000000000001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14.448500000000001</v>
      </c>
      <c r="H60" s="69">
        <f t="shared" si="1"/>
        <v>161.30656666666667</v>
      </c>
      <c r="I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58.955242664469303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4.9549450549450569</v>
      </c>
      <c r="N60" s="14">
        <f>IF('Données projet'!$A$36&gt;35,N59+M60-V59,IF(A60&lt;'Données projet'!$A$36,$K$205^A60,IF(A60='Données projet'!$A$36,'Données projet'!$B$36,N59+M60-V59)))</f>
        <v>138.09780219780225</v>
      </c>
      <c r="O60" s="14">
        <f>N60*VLOOKUP('Données projet'!$B$9,Paramètres!$A$1:$I$89,3,0)*VLOOKUP('Données projet'!$B$9,Paramètres!$A$1:$I$89,5,0)</f>
        <v>80.787214285714327</v>
      </c>
      <c r="P60" s="14">
        <f t="shared" si="33"/>
        <v>22.329552283741958</v>
      </c>
      <c r="Q60" s="22">
        <f t="shared" si="53"/>
        <v>179.59503510846969</v>
      </c>
      <c r="R60" s="62">
        <f t="shared" si="0"/>
        <v>432.43092487819047</v>
      </c>
      <c r="S60" s="62">
        <f ca="1">AVERAGE(OFFSET($R$3,0,0,'Données projet'!$E$9+1,1))-AVERAGE(OFFSET($H$3,0,0,'Données projet'!$E$9+1,1))</f>
        <v>210.54472399593521</v>
      </c>
      <c r="T60" s="62">
        <f t="shared" si="34"/>
        <v>181.14158435194193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58.955242664469303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3</v>
      </c>
      <c r="AI60" s="14">
        <f>IF('Données projet'!$A$62&gt;35,AI59+AH60-AQ59,IF(A60&lt;'Données projet'!$A$62,$AF$205^A60,IF(A60='Données projet'!$A$62,'Données projet'!$B$62,AI59+AH60-AQ59)))</f>
        <v>231.50000000000006</v>
      </c>
      <c r="AJ60" s="14">
        <f>AI60*VLOOKUP('Données projet'!$B$10,Paramètres!$A$1:$I$89,3,0)*VLOOKUP('Données projet'!$B$10,Paramètres!$A$1:$I$89,5,0)</f>
        <v>120.38000000000004</v>
      </c>
      <c r="AK60" s="14">
        <f t="shared" si="35"/>
        <v>31.763611738750697</v>
      </c>
      <c r="AL60" s="22">
        <f t="shared" si="4"/>
        <v>264.98345711165751</v>
      </c>
      <c r="AM60" s="62">
        <f t="shared" si="5"/>
        <v>517.81934688137824</v>
      </c>
      <c r="AN60" s="62">
        <f ca="1">AVERAGE(OFFSET($AM$3,0,0,'Données projet'!$E$10+1,1))-AVERAGE(OFFSET($H$3,0,0,'Données projet'!$E$10+1,1))</f>
        <v>289.05608923588198</v>
      </c>
      <c r="AO60" s="62">
        <f t="shared" si="36"/>
        <v>220.06639020312738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58.955242664469303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1.7724999999999995</v>
      </c>
      <c r="BD60" s="13">
        <f>IF('Données projet'!$A$88&gt;35,BD59+BC60-BL59,IF(A60&lt;'Données projet'!$A$88,$BA$205^A60,IF(A60='Données projet'!$A$88,'Données projet'!$B$88,BD59+BC60-BL59)))</f>
        <v>79.044999999999987</v>
      </c>
      <c r="BE60" s="14">
        <f>BD60*VLOOKUP('Données projet'!$B$11,Paramètres!$A$1:$I$89,3,0)*VLOOKUP('Données projet'!$B$11,Paramètres!$A$1:$I$89,5,0)</f>
        <v>91.05983999999998</v>
      </c>
      <c r="BF60" s="14">
        <f t="shared" si="37"/>
        <v>24.820658459728463</v>
      </c>
      <c r="BG60" s="22">
        <f t="shared" si="7"/>
        <v>201.82520148402705</v>
      </c>
      <c r="BH60" s="62">
        <f t="shared" si="8"/>
        <v>454.66109125374783</v>
      </c>
      <c r="BI60" s="62">
        <f ca="1">AVERAGE(OFFSET($BH$3,0,0,'Données projet'!$E$11+1,1))-AVERAGE(OFFSET($H$3,0,0,'Données projet'!$E$11+1,1))</f>
        <v>299.54950406029354</v>
      </c>
      <c r="BJ60" s="62">
        <f t="shared" si="38"/>
        <v>208.26364698165739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58.955242664469303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4.2307692307692317</v>
      </c>
      <c r="BY60" s="13">
        <f>IF('Données projet'!$A$114&gt;35,BY59+BX60-CG59,IF(A60&lt;'Données projet'!$A$114,$BV$205^A60,IF(A60='Données projet'!$A$114,'Données projet'!$B$114,BY59+BX60-CG59)))</f>
        <v>161.66666666666657</v>
      </c>
      <c r="BZ60" s="14">
        <f>BY60*VLOOKUP('Données projet'!$B$12,Paramètres!$A$1:$I$89,3,0)*VLOOKUP('Données projet'!$B$12,Paramètres!$A$1:$I$89,5,0)</f>
        <v>174.01799999999989</v>
      </c>
      <c r="CA60" s="14">
        <f t="shared" si="39"/>
        <v>43.988694800618916</v>
      </c>
      <c r="CB60" s="22">
        <f t="shared" si="10"/>
        <v>379.69499344441101</v>
      </c>
      <c r="CC60" s="62">
        <f t="shared" si="11"/>
        <v>632.53088321413179</v>
      </c>
      <c r="CD60" s="62">
        <f ca="1">AVERAGE(OFFSET($CC$3,0,0,'Données projet'!$E$12+1,1))-AVERAGE(OFFSET($H$3,0,0,'Données projet'!$E$12+1,1))</f>
        <v>441.30518831297212</v>
      </c>
      <c r="CE60" s="62">
        <f t="shared" si="40"/>
        <v>270.42872405271851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58.955242664469303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4.2</v>
      </c>
      <c r="CT60" s="13">
        <f>IF('Données projet'!$A$140&gt;35,CT59+CS60-DB59,IF(A60&lt;'Données projet'!$A$140,$CQ$205^A60,IF(A60='Données projet'!$A$140,'Données projet'!$B$140,CT59+CS60-DB59)))</f>
        <v>182.39999999999998</v>
      </c>
      <c r="CU60" s="18">
        <f>CT60*VLOOKUP('Données projet'!$B$13,Paramètres!$A$1:$I$89,3,0)*VLOOKUP('Données projet'!$B$13,Paramètres!$A$1:$I$89,5,0)</f>
        <v>159.34464</v>
      </c>
      <c r="CV60" s="14">
        <f t="shared" si="41"/>
        <v>40.694661837553809</v>
      </c>
      <c r="CW60" s="22">
        <f t="shared" si="13"/>
        <v>348.40178403373949</v>
      </c>
      <c r="CX60" s="62">
        <f t="shared" si="14"/>
        <v>601.23767380346021</v>
      </c>
      <c r="CY60" s="62">
        <f ca="1">AVERAGE(OFFSET($CX$3,0,0,'Données projet'!$E$13+1,1))-AVERAGE(OFFSET($H$3,0,0,'Données projet'!$E$13+1,1))</f>
        <v>310.81258463659196</v>
      </c>
      <c r="CZ60" s="62">
        <f t="shared" si="42"/>
        <v>287.31099756692083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58.955242664469303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4.2307692307692317</v>
      </c>
      <c r="DO60" s="13">
        <f>IF('Données projet'!$A$166&gt;35,DO59+DN60-DW59,IF(A60&lt;'Données projet'!$A$166,$DL$205^A60,IF(A60='Données projet'!$A$166,'Données projet'!$B$166,DO59+DN60-DW59)))</f>
        <v>161.66666666666657</v>
      </c>
      <c r="DP60" s="18">
        <f>DO60*VLOOKUP('Données projet'!$B$14,Paramètres!$A$1:$I$89,3,0)*VLOOKUP('Données projet'!$B$14,Paramètres!$A$1:$I$89,5,0)</f>
        <v>168.9739999999999</v>
      </c>
      <c r="DQ60" s="14">
        <f t="shared" si="43"/>
        <v>42.860152819367428</v>
      </c>
      <c r="DR60" s="22">
        <f t="shared" si="16"/>
        <v>368.94448282706475</v>
      </c>
      <c r="DS60" s="62">
        <f t="shared" si="17"/>
        <v>621.78037259678547</v>
      </c>
      <c r="DT60" s="62">
        <f ca="1">AVERAGE(OFFSET($DS$3,0,0,'Données projet'!$E$14+1,1))-AVERAGE(OFFSET($H$3,0,0,'Données projet'!$E$14+1,1))</f>
        <v>431.19274104373625</v>
      </c>
      <c r="DU60" s="62">
        <f t="shared" si="44"/>
        <v>264.67919175178133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58.955242664469303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>
        <f>VLOOKUP(A60,'Données projet'!$A$191:$I$211,2,0)</f>
        <v>284.78461538461539</v>
      </c>
      <c r="EH60" s="13">
        <f>VLOOKUP(A60,'Données projet'!$A$191:$I$211,9,0)</f>
        <v>10.542307692307702</v>
      </c>
      <c r="EI60" s="13">
        <f t="array" ref="EI60">INDEX(EH:EH,MIN(IF(ISNUMBER(EH60:EH256),ROW(EH60:EH256),"")))</f>
        <v>10.542307692307702</v>
      </c>
      <c r="EJ60" s="13">
        <f>IF('Données projet'!$A$192&gt;35,EJ59+EI60-ER59,IF(A60&lt;'Données projet'!$A$192,$EG$205^A60,IF(A60='Données projet'!$A$192,'Données projet'!$B$192,EJ59+EI60-ER59)))</f>
        <v>284.78461538461522</v>
      </c>
      <c r="EK60" s="18">
        <f>EJ60*VLOOKUP('Données projet'!$B$15,Paramètres!$A$1:$I$89,3,0)*VLOOKUP('Données projet'!$B$15,Paramètres!$A$1:$I$89,5,0)</f>
        <v>133.27919999999992</v>
      </c>
      <c r="EL60" s="14">
        <f t="shared" si="45"/>
        <v>34.752984079426945</v>
      </c>
      <c r="EM60" s="22">
        <f t="shared" si="19"/>
        <v>292.65605393833511</v>
      </c>
      <c r="EN60" s="62">
        <f t="shared" si="20"/>
        <v>545.49194370805583</v>
      </c>
      <c r="EO60" s="62">
        <f ca="1">AVERAGE(OFFSET($EN$3,0,0,'Données projet'!$E$15+1,1))-AVERAGE(OFFSET($H$3,0,0,'Données projet'!$E$15+1,1))</f>
        <v>291.68530745507815</v>
      </c>
      <c r="EP60" s="62">
        <f t="shared" si="46"/>
        <v>175.95121106728979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0</v>
      </c>
      <c r="EZ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58.955242664469303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4.5999999999999996</v>
      </c>
      <c r="FE60" s="13">
        <f>IF('Données projet'!$A$218&gt;35,FE59+FD60-FM59,IF(A60&lt;'Données projet'!$A$218,$FB$205^A60,IF(A60='Données projet'!$A$218,'Données projet'!$B$218,FE59+FD60-FM59)))</f>
        <v>151.19999999999985</v>
      </c>
      <c r="FF60" s="18">
        <f>FE60*VLOOKUP('Données projet'!$B$16,Paramètres!$A$1:$I$89,3,0)*VLOOKUP('Données projet'!$B$16,Paramètres!$A$1:$I$89,5,0)</f>
        <v>99.066239999999894</v>
      </c>
      <c r="FG60" s="14">
        <f t="shared" si="47"/>
        <v>26.739420789378681</v>
      </c>
      <c r="FH60" s="22">
        <f t="shared" si="22"/>
        <v>219.11152587483434</v>
      </c>
      <c r="FI60" s="62">
        <f t="shared" si="23"/>
        <v>471.94741564455512</v>
      </c>
      <c r="FJ60" s="62">
        <f ca="1">AVERAGE(OFFSET($FI$3,0,0,'Données projet'!$E$16+1,1))-AVERAGE(OFFSET($H$3,0,0,'Données projet'!$E$16+1,1))</f>
        <v>248.75689726928428</v>
      </c>
      <c r="FK60" s="62">
        <f t="shared" si="48"/>
        <v>232.02291680388336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projet'!$B$16,Paramètres!$A$1:$I$89,3,0)*0.475*44/12</f>
        <v>0</v>
      </c>
      <c r="FR60" s="23">
        <f>EXP(-LN(2)/25)*FR59+(1-EXP(-LN(2)/25))/(LN(2)/25)*Calculateur!FM60*Calculateur!FO60*VLOOKUP('Données projet'!$B$16,Paramètres!$A$1:$I$89,3,0)*0.475*44/12</f>
        <v>0</v>
      </c>
      <c r="FS60" s="23">
        <f>EXP(-LN(2)/2)*FS59+(1-EXP(-LN(2)/2))/(LN(2)/2)*FM60*FP60*VLOOKUP('Données projet'!$B$16,Paramètres!$A$1:$I$89,3,0)*0.475*44/12</f>
        <v>0</v>
      </c>
      <c r="FT60" s="24">
        <f t="shared" si="24"/>
        <v>0</v>
      </c>
      <c r="FU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58.955242664469303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>
        <f>VLOOKUP(A60,'Données projet'!$A$243:$I$263,2,0)</f>
        <v>308</v>
      </c>
      <c r="FX60" s="13">
        <f>VLOOKUP(A60,'Données projet'!$A$243:$I$263,9,0)</f>
        <v>15.75</v>
      </c>
      <c r="FY60" s="13">
        <f t="array" ref="FY60">INDEX(FX:FX,MIN(IF(ISNUMBER(FX60:FX256),ROW(FX60:FX256),"")))</f>
        <v>15.75</v>
      </c>
      <c r="FZ60" s="13">
        <f>IF('Données projet'!$A$244&gt;35,FZ59+FY60-GH59,IF(A60&lt;'Données projet'!$A$244,$FW$205^A60,IF(A60='Données projet'!$A$244,'Données projet'!$B$244,FZ59+FY60-GH59)))</f>
        <v>307.99999999999989</v>
      </c>
      <c r="GA60" s="18">
        <f>FZ60*VLOOKUP('Données projet'!$B$17,Paramètres!$A$1:$I$89,3,0)*VLOOKUP('Données projet'!$B$17,Paramètres!$A$1:$I$89,5,0)</f>
        <v>184.18399999999994</v>
      </c>
      <c r="GB60" s="14">
        <f t="shared" si="49"/>
        <v>46.251800545659314</v>
      </c>
      <c r="GC60" s="22">
        <f t="shared" si="25"/>
        <v>401.34235261702315</v>
      </c>
      <c r="GD60" s="62">
        <f t="shared" si="26"/>
        <v>654.17824238674393</v>
      </c>
      <c r="GE60" s="62">
        <f ca="1">AVERAGE(OFFSET($GD$3,0,0,'Données projet'!$E$17+1,1))-AVERAGE(OFFSET($H$3,0,0,'Données projet'!$E$17+1,1))</f>
        <v>315.909549580511</v>
      </c>
      <c r="GF60" s="62">
        <f t="shared" si="50"/>
        <v>208.56856525402051</v>
      </c>
      <c r="GG60" s="16">
        <f>IF(ISNA(VLOOKUP(A60,'Données projet'!$A$243:$I$263,3,0)),0,VLOOKUP(A60,'Données projet'!$A$243:$I$263,3,0))</f>
        <v>4</v>
      </c>
      <c r="GH60" s="16">
        <f>IF(ISNA(VLOOKUP(A60,'Données projet'!$A$243:$I$263,4,0)),0,VLOOKUP(A60,'Données projet'!$A$243:$I$263,4,0))</f>
        <v>98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projet'!$B$17,Paramètres!$A$1:$I$89,3,0)*0.475*44/12</f>
        <v>0</v>
      </c>
      <c r="GM60" s="23">
        <f>EXP(-LN(2)/25)*GM59+(1-EXP(-LN(2)/25))/(LN(2)/25)*Calculateur!GH60*Calculateur!GJ60*VLOOKUP('Données projet'!$B$17,Paramètres!$A$1:$I$89,3,0)*0.475*44/12</f>
        <v>0</v>
      </c>
      <c r="GN60" s="23">
        <f>EXP(-LN(2)/2)*GN59+(1-EXP(-LN(2)/2))/(LN(2)/2)*GH60*GK60*VLOOKUP('Données projet'!$B$17,Paramètres!$A$1:$I$89,3,0)*0.475*44/12</f>
        <v>0</v>
      </c>
      <c r="GO60" s="23">
        <f t="shared" si="27"/>
        <v>0</v>
      </c>
      <c r="GP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58.955242664469303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3.9743589743589722</v>
      </c>
      <c r="GU60" s="13">
        <f>IF('Données projet'!$A$270&gt;35,GU59+GT60-HC59,IF(A60&lt;'Données projet'!$A$270,$GR$205^A60,IF(A60='Données projet'!$A$270,'Données projet'!$B$270,GU59+GT60-HC59)))</f>
        <v>132.94871794871801</v>
      </c>
      <c r="GV60" s="18">
        <f>GU60*VLOOKUP('Données projet'!$B$18,Paramètres!$A$1:$I$89,3,0)*VLOOKUP('Données projet'!$B$18,Paramètres!$A$1:$I$89,5,0)</f>
        <v>89.182000000000045</v>
      </c>
      <c r="GW60" s="14">
        <f t="shared" si="51"/>
        <v>24.367838379770813</v>
      </c>
      <c r="GX60" s="22">
        <f t="shared" si="28"/>
        <v>197.76596851143424</v>
      </c>
      <c r="GY60" s="62">
        <f t="shared" si="29"/>
        <v>450.60185828115499</v>
      </c>
      <c r="GZ60" s="62">
        <f ca="1">AVERAGE(OFFSET($GY$3,0,0,'Données projet'!$E$18+1,1))-AVERAGE(OFFSET($H$3,0,0,'Données projet'!$E$18+1,1))</f>
        <v>254.35742752782755</v>
      </c>
      <c r="HA60" s="62">
        <f t="shared" si="52"/>
        <v>171.79611712137395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>
        <f>EXP(-LN(2)/35)*HG59+(1-EXP(-LN(2)/35))/(LN(2)/35)*HC60*HD60*VLOOKUP('Données projet'!$B$18,Paramètres!$A$1:$I$89,3,0)*0.475*44/12</f>
        <v>0</v>
      </c>
      <c r="HH60" s="23">
        <f>EXP(-LN(2)/25)*HH59+(1-EXP(-LN(2)/25))/(LN(2)/25)*Calculateur!HC60*Calculateur!HE60*VLOOKUP('Données projet'!$B$18,Paramètres!$A$1:$I$89,3,0)*0.475*44/12</f>
        <v>0</v>
      </c>
      <c r="HI60" s="23">
        <f>EXP(-LN(2)/2)*HI59+(1-EXP(-LN(2)/2))/(LN(2)/2)*HC60*HF60*VLOOKUP('Données projet'!$B$18,Paramètres!$A$1:$I$89,3,0)*0.475*44/12</f>
        <v>0</v>
      </c>
      <c r="HJ60" s="24">
        <f t="shared" si="30"/>
        <v>0</v>
      </c>
    </row>
    <row r="61" spans="1:218" s="5" customFormat="1" x14ac:dyDescent="0.3">
      <c r="A61" s="11">
        <f t="shared" si="31"/>
        <v>58</v>
      </c>
      <c r="B61" s="76">
        <f>'Scénario référence'!$B$16*5+'Scénario référence'!$B$17*0+'Scénario référence'!$B$18*5</f>
        <v>3.9405000000000001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14.448500000000001</v>
      </c>
      <c r="H61" s="69">
        <f t="shared" si="1"/>
        <v>161.30656666666667</v>
      </c>
      <c r="I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59.146844511862547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4.9549450549450569</v>
      </c>
      <c r="N61" s="14">
        <f>IF('Données projet'!$A$36&gt;35,N60+M61-V60,IF(A61&lt;'Données projet'!$A$36,$K$205^A61,IF(A61='Données projet'!$A$36,'Données projet'!$B$36,N60+M61-V60)))</f>
        <v>143.05274725274731</v>
      </c>
      <c r="O61" s="14">
        <f>N61*VLOOKUP('Données projet'!$B$9,Paramètres!$A$1:$I$89,3,0)*VLOOKUP('Données projet'!$B$9,Paramètres!$A$1:$I$89,5,0)</f>
        <v>83.685857142857188</v>
      </c>
      <c r="P61" s="14">
        <f t="shared" si="33"/>
        <v>23.036019249899919</v>
      </c>
      <c r="Q61" s="22">
        <f t="shared" si="53"/>
        <v>185.87393471738528</v>
      </c>
      <c r="R61" s="62">
        <f t="shared" si="0"/>
        <v>439.41236459421464</v>
      </c>
      <c r="S61" s="62">
        <f ca="1">AVERAGE(OFFSET($R$3,0,0,'Données projet'!$E$9+1,1))-AVERAGE(OFFSET($H$3,0,0,'Données projet'!$E$9+1,1))</f>
        <v>210.54472399593521</v>
      </c>
      <c r="T61" s="62">
        <f t="shared" si="34"/>
        <v>181.14158435194193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59.146844511862547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3</v>
      </c>
      <c r="AI61" s="14">
        <f>IF('Données projet'!$A$62&gt;35,AI60+AH61-AQ60,IF(A61&lt;'Données projet'!$A$62,$AF$205^A61,IF(A61='Données projet'!$A$62,'Données projet'!$B$62,AI60+AH61-AQ60)))</f>
        <v>234.50000000000006</v>
      </c>
      <c r="AJ61" s="14">
        <f>AI61*VLOOKUP('Données projet'!$B$10,Paramètres!$A$1:$I$89,3,0)*VLOOKUP('Données projet'!$B$10,Paramètres!$A$1:$I$89,5,0)</f>
        <v>121.94000000000004</v>
      </c>
      <c r="AK61" s="14">
        <f t="shared" si="35"/>
        <v>32.127049243307034</v>
      </c>
      <c r="AL61" s="22">
        <f t="shared" si="4"/>
        <v>268.3334440987598</v>
      </c>
      <c r="AM61" s="62">
        <f t="shared" si="5"/>
        <v>521.8718739755891</v>
      </c>
      <c r="AN61" s="62">
        <f ca="1">AVERAGE(OFFSET($AM$3,0,0,'Données projet'!$E$10+1,1))-AVERAGE(OFFSET($H$3,0,0,'Données projet'!$E$10+1,1))</f>
        <v>289.05608923588198</v>
      </c>
      <c r="AO61" s="62">
        <f t="shared" si="36"/>
        <v>220.06639020312738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59.146844511862547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1.7724999999999995</v>
      </c>
      <c r="BD61" s="13">
        <f>IF('Données projet'!$A$88&gt;35,BD60+BC61-BL60,IF(A61&lt;'Données projet'!$A$88,$BA$205^A61,IF(A61='Données projet'!$A$88,'Données projet'!$B$88,BD60+BC61-BL60)))</f>
        <v>80.817499999999981</v>
      </c>
      <c r="BE61" s="14">
        <f>BD61*VLOOKUP('Données projet'!$B$11,Paramètres!$A$1:$I$89,3,0)*VLOOKUP('Données projet'!$B$11,Paramètres!$A$1:$I$89,5,0)</f>
        <v>93.10175999999997</v>
      </c>
      <c r="BF61" s="14">
        <f t="shared" si="37"/>
        <v>25.311813234087357</v>
      </c>
      <c r="BG61" s="22">
        <f t="shared" si="7"/>
        <v>206.23697338270208</v>
      </c>
      <c r="BH61" s="62">
        <f t="shared" si="8"/>
        <v>459.77540325953146</v>
      </c>
      <c r="BI61" s="62">
        <f ca="1">AVERAGE(OFFSET($BH$3,0,0,'Données projet'!$E$11+1,1))-AVERAGE(OFFSET($H$3,0,0,'Données projet'!$E$11+1,1))</f>
        <v>299.54950406029354</v>
      </c>
      <c r="BJ61" s="62">
        <f t="shared" si="38"/>
        <v>208.26364698165739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59.146844511862547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4.2307692307692317</v>
      </c>
      <c r="BY61" s="13">
        <f>IF('Données projet'!$A$114&gt;35,BY60+BX61-CG60,IF(A61&lt;'Données projet'!$A$114,$BV$205^A61,IF(A61='Données projet'!$A$114,'Données projet'!$B$114,BY60+BX61-CG60)))</f>
        <v>165.8974358974358</v>
      </c>
      <c r="BZ61" s="14">
        <f>BY61*VLOOKUP('Données projet'!$B$12,Paramètres!$A$1:$I$89,3,0)*VLOOKUP('Données projet'!$B$12,Paramètres!$A$1:$I$89,5,0)</f>
        <v>178.57199999999989</v>
      </c>
      <c r="CA61" s="14">
        <f t="shared" si="39"/>
        <v>45.00433535086087</v>
      </c>
      <c r="CB61" s="22">
        <f t="shared" si="10"/>
        <v>389.39545073608247</v>
      </c>
      <c r="CC61" s="62">
        <f t="shared" si="11"/>
        <v>642.93388061291182</v>
      </c>
      <c r="CD61" s="62">
        <f ca="1">AVERAGE(OFFSET($CC$3,0,0,'Données projet'!$E$12+1,1))-AVERAGE(OFFSET($H$3,0,0,'Données projet'!$E$12+1,1))</f>
        <v>441.30518831297212</v>
      </c>
      <c r="CE61" s="62">
        <f t="shared" si="40"/>
        <v>270.42872405271851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59.146844511862547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4.2</v>
      </c>
      <c r="CT61" s="13">
        <f>IF('Données projet'!$A$140&gt;35,CT60+CS61-DB60,IF(A61&lt;'Données projet'!$A$140,$CQ$205^A61,IF(A61='Données projet'!$A$140,'Données projet'!$B$140,CT60+CS61-DB60)))</f>
        <v>186.59999999999997</v>
      </c>
      <c r="CU61" s="18">
        <f>CT61*VLOOKUP('Données projet'!$B$13,Paramètres!$A$1:$I$89,3,0)*VLOOKUP('Données projet'!$B$13,Paramètres!$A$1:$I$89,5,0)</f>
        <v>163.01375999999999</v>
      </c>
      <c r="CV61" s="14">
        <f t="shared" si="41"/>
        <v>41.521537366475364</v>
      </c>
      <c r="CW61" s="22">
        <f t="shared" si="13"/>
        <v>356.23230957994457</v>
      </c>
      <c r="CX61" s="62">
        <f t="shared" si="14"/>
        <v>609.77073945677398</v>
      </c>
      <c r="CY61" s="62">
        <f ca="1">AVERAGE(OFFSET($CX$3,0,0,'Données projet'!$E$13+1,1))-AVERAGE(OFFSET($H$3,0,0,'Données projet'!$E$13+1,1))</f>
        <v>310.81258463659196</v>
      </c>
      <c r="CZ61" s="62">
        <f t="shared" si="42"/>
        <v>287.31099756692083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59.146844511862547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4.2307692307692317</v>
      </c>
      <c r="DO61" s="13">
        <f>IF('Données projet'!$A$166&gt;35,DO60+DN61-DW60,IF(A61&lt;'Données projet'!$A$166,$DL$205^A61,IF(A61='Données projet'!$A$166,'Données projet'!$B$166,DO60+DN61-DW60)))</f>
        <v>165.8974358974358</v>
      </c>
      <c r="DP61" s="18">
        <f>DO61*VLOOKUP('Données projet'!$B$14,Paramètres!$A$1:$I$89,3,0)*VLOOKUP('Données projet'!$B$14,Paramètres!$A$1:$I$89,5,0)</f>
        <v>173.39599999999993</v>
      </c>
      <c r="DQ61" s="14">
        <f t="shared" si="43"/>
        <v>43.849736833856177</v>
      </c>
      <c r="DR61" s="22">
        <f t="shared" si="16"/>
        <v>378.369658318966</v>
      </c>
      <c r="DS61" s="62">
        <f t="shared" si="17"/>
        <v>631.90808819579536</v>
      </c>
      <c r="DT61" s="62">
        <f ca="1">AVERAGE(OFFSET($DS$3,0,0,'Données projet'!$E$14+1,1))-AVERAGE(OFFSET($H$3,0,0,'Données projet'!$E$14+1,1))</f>
        <v>431.19274104373625</v>
      </c>
      <c r="DU61" s="62">
        <f t="shared" si="44"/>
        <v>264.67919175178133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59.146844511862547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10.984615384615381</v>
      </c>
      <c r="EJ61" s="13">
        <f>IF('Données projet'!$A$192&gt;35,EJ60+EI61-ER60,IF(A61&lt;'Données projet'!$A$192,$EG$205^A61,IF(A61='Données projet'!$A$192,'Données projet'!$B$192,EJ60+EI61-ER60)))</f>
        <v>295.7692307692306</v>
      </c>
      <c r="EK61" s="18">
        <f>EJ61*VLOOKUP('Données projet'!$B$15,Paramètres!$A$1:$I$89,3,0)*VLOOKUP('Données projet'!$B$15,Paramètres!$A$1:$I$89,5,0)</f>
        <v>138.41999999999993</v>
      </c>
      <c r="EL61" s="14">
        <f t="shared" si="45"/>
        <v>35.934810934702796</v>
      </c>
      <c r="EM61" s="22">
        <f t="shared" si="19"/>
        <v>303.66796237794057</v>
      </c>
      <c r="EN61" s="62">
        <f t="shared" si="20"/>
        <v>557.20639225476998</v>
      </c>
      <c r="EO61" s="62">
        <f ca="1">AVERAGE(OFFSET($EN$3,0,0,'Données projet'!$E$15+1,1))-AVERAGE(OFFSET($H$3,0,0,'Données projet'!$E$15+1,1))</f>
        <v>291.68530745507815</v>
      </c>
      <c r="EP61" s="62">
        <f t="shared" si="46"/>
        <v>175.95121106728979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0</v>
      </c>
      <c r="EZ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59.146844511862547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4.5999999999999996</v>
      </c>
      <c r="FE61" s="13">
        <f>IF('Données projet'!$A$218&gt;35,FE60+FD61-FM60,IF(A61&lt;'Données projet'!$A$218,$FB$205^A61,IF(A61='Données projet'!$A$218,'Données projet'!$B$218,FE60+FD61-FM60)))</f>
        <v>155.79999999999984</v>
      </c>
      <c r="FF61" s="18">
        <f>FE61*VLOOKUP('Données projet'!$B$16,Paramètres!$A$1:$I$89,3,0)*VLOOKUP('Données projet'!$B$16,Paramètres!$A$1:$I$89,5,0)</f>
        <v>102.08015999999991</v>
      </c>
      <c r="FG61" s="14">
        <f t="shared" si="47"/>
        <v>27.456971614793144</v>
      </c>
      <c r="FH61" s="22">
        <f t="shared" si="22"/>
        <v>225.61050422909787</v>
      </c>
      <c r="FI61" s="62">
        <f t="shared" si="23"/>
        <v>479.1489341059272</v>
      </c>
      <c r="FJ61" s="62">
        <f ca="1">AVERAGE(OFFSET($FI$3,0,0,'Données projet'!$E$16+1,1))-AVERAGE(OFFSET($H$3,0,0,'Données projet'!$E$16+1,1))</f>
        <v>248.75689726928428</v>
      </c>
      <c r="FK61" s="62">
        <f t="shared" si="48"/>
        <v>232.02291680388336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projet'!$B$16,Paramètres!$A$1:$I$89,3,0)*0.475*44/12</f>
        <v>0</v>
      </c>
      <c r="FR61" s="23">
        <f>EXP(-LN(2)/25)*FR60+(1-EXP(-LN(2)/25))/(LN(2)/25)*Calculateur!FM61*Calculateur!FO61*VLOOKUP('Données projet'!$B$16,Paramètres!$A$1:$I$89,3,0)*0.475*44/12</f>
        <v>0</v>
      </c>
      <c r="FS61" s="23">
        <f>EXP(-LN(2)/2)*FS60+(1-EXP(-LN(2)/2))/(LN(2)/2)*FM61*FP61*VLOOKUP('Données projet'!$B$16,Paramètres!$A$1:$I$89,3,0)*0.475*44/12</f>
        <v>0</v>
      </c>
      <c r="FT61" s="24">
        <f t="shared" si="24"/>
        <v>0</v>
      </c>
      <c r="FU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59.146844511862547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12.8</v>
      </c>
      <c r="FZ61" s="13">
        <f>IF('Données projet'!$A$244&gt;35,FZ60+FY61-GH60,IF(A61&lt;'Données projet'!$A$244,$FW$205^A61,IF(A61='Données projet'!$A$244,'Données projet'!$B$244,FZ60+FY61-GH60)))</f>
        <v>222.7999999999999</v>
      </c>
      <c r="GA61" s="18">
        <f>FZ61*VLOOKUP('Données projet'!$B$17,Paramètres!$A$1:$I$89,3,0)*VLOOKUP('Données projet'!$B$17,Paramètres!$A$1:$I$89,5,0)</f>
        <v>133.23439999999994</v>
      </c>
      <c r="GB61" s="14">
        <f t="shared" si="49"/>
        <v>34.74266188720091</v>
      </c>
      <c r="GC61" s="22">
        <f t="shared" si="25"/>
        <v>292.56004945354147</v>
      </c>
      <c r="GD61" s="62">
        <f t="shared" si="26"/>
        <v>546.09847933037076</v>
      </c>
      <c r="GE61" s="62">
        <f ca="1">AVERAGE(OFFSET($GD$3,0,0,'Données projet'!$E$17+1,1))-AVERAGE(OFFSET($H$3,0,0,'Données projet'!$E$17+1,1))</f>
        <v>315.909549580511</v>
      </c>
      <c r="GF61" s="62">
        <f t="shared" si="50"/>
        <v>208.56856525402051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projet'!$B$17,Paramètres!$A$1:$I$89,3,0)*0.475*44/12</f>
        <v>0</v>
      </c>
      <c r="GM61" s="23">
        <f>EXP(-LN(2)/25)*GM60+(1-EXP(-LN(2)/25))/(LN(2)/25)*Calculateur!GH61*Calculateur!GJ61*VLOOKUP('Données projet'!$B$17,Paramètres!$A$1:$I$89,3,0)*0.475*44/12</f>
        <v>0</v>
      </c>
      <c r="GN61" s="23">
        <f>EXP(-LN(2)/2)*GN60+(1-EXP(-LN(2)/2))/(LN(2)/2)*GH61*GK61*VLOOKUP('Données projet'!$B$17,Paramètres!$A$1:$I$89,3,0)*0.475*44/12</f>
        <v>0</v>
      </c>
      <c r="GO61" s="23">
        <f t="shared" si="27"/>
        <v>0</v>
      </c>
      <c r="GP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59.146844511862547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3.9743589743589722</v>
      </c>
      <c r="GU61" s="13">
        <f>IF('Données projet'!$A$270&gt;35,GU60+GT61-HC60,IF(A61&lt;'Données projet'!$A$270,$GR$205^A61,IF(A61='Données projet'!$A$270,'Données projet'!$B$270,GU60+GT61-HC60)))</f>
        <v>136.92307692307699</v>
      </c>
      <c r="GV61" s="18">
        <f>GU61*VLOOKUP('Données projet'!$B$18,Paramètres!$A$1:$I$89,3,0)*VLOOKUP('Données projet'!$B$18,Paramètres!$A$1:$I$89,5,0)</f>
        <v>91.848000000000042</v>
      </c>
      <c r="GW61" s="14">
        <f t="shared" si="51"/>
        <v>25.010389499255435</v>
      </c>
      <c r="GX61" s="22">
        <f t="shared" si="28"/>
        <v>203.52836171120327</v>
      </c>
      <c r="GY61" s="62">
        <f t="shared" si="29"/>
        <v>457.06679158803263</v>
      </c>
      <c r="GZ61" s="62">
        <f ca="1">AVERAGE(OFFSET($GY$3,0,0,'Données projet'!$E$18+1,1))-AVERAGE(OFFSET($H$3,0,0,'Données projet'!$E$18+1,1))</f>
        <v>254.35742752782755</v>
      </c>
      <c r="HA61" s="62">
        <f t="shared" si="52"/>
        <v>171.79611712137395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>
        <f>EXP(-LN(2)/35)*HG60+(1-EXP(-LN(2)/35))/(LN(2)/35)*HC61*HD61*VLOOKUP('Données projet'!$B$18,Paramètres!$A$1:$I$89,3,0)*0.475*44/12</f>
        <v>0</v>
      </c>
      <c r="HH61" s="23">
        <f>EXP(-LN(2)/25)*HH60+(1-EXP(-LN(2)/25))/(LN(2)/25)*Calculateur!HC61*Calculateur!HE61*VLOOKUP('Données projet'!$B$18,Paramètres!$A$1:$I$89,3,0)*0.475*44/12</f>
        <v>0</v>
      </c>
      <c r="HI61" s="23">
        <f>EXP(-LN(2)/2)*HI60+(1-EXP(-LN(2)/2))/(LN(2)/2)*HC61*HF61*VLOOKUP('Données projet'!$B$18,Paramètres!$A$1:$I$89,3,0)*0.475*44/12</f>
        <v>0</v>
      </c>
      <c r="HJ61" s="24">
        <f t="shared" si="30"/>
        <v>0</v>
      </c>
    </row>
    <row r="62" spans="1:218" s="5" customFormat="1" x14ac:dyDescent="0.3">
      <c r="A62" s="11">
        <f t="shared" si="31"/>
        <v>59</v>
      </c>
      <c r="B62" s="76">
        <f>'Scénario référence'!$B$16*5+'Scénario référence'!$B$17*0+'Scénario référence'!$B$18*5</f>
        <v>3.9405000000000001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14.448500000000001</v>
      </c>
      <c r="H62" s="69">
        <f t="shared" si="1"/>
        <v>161.30656666666667</v>
      </c>
      <c r="I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59.335122495561073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>
        <f>VLOOKUP(A62,'Données projet'!$A$35:$I$55,2,0)</f>
        <v>148.00769230769231</v>
      </c>
      <c r="L62" s="13">
        <f>VLOOKUP(A62,'Données projet'!$A$35:$I$55,9,0)</f>
        <v>4.9549450549450569</v>
      </c>
      <c r="M62" s="13">
        <f t="array" ref="M62">INDEX(L:L,MIN(IF(ISNUMBER(L62:L258),ROW(L62:L258),"")))</f>
        <v>4.9549450549450569</v>
      </c>
      <c r="N62" s="14">
        <f>IF('Données projet'!$A$36&gt;35,N61+M62-V61,IF(A62&lt;'Données projet'!$A$36,$K$205^A62,IF(A62='Données projet'!$A$36,'Données projet'!$B$36,N61+M62-V61)))</f>
        <v>148.00769230769237</v>
      </c>
      <c r="O62" s="14">
        <f>N62*VLOOKUP('Données projet'!$B$9,Paramètres!$A$1:$I$89,3,0)*VLOOKUP('Données projet'!$B$9,Paramètres!$A$1:$I$89,5,0)</f>
        <v>86.584500000000048</v>
      </c>
      <c r="P62" s="14">
        <f t="shared" si="33"/>
        <v>23.739643038177103</v>
      </c>
      <c r="Q62" s="22">
        <f t="shared" si="53"/>
        <v>192.14788245815853</v>
      </c>
      <c r="R62" s="62">
        <f t="shared" si="0"/>
        <v>446.3766649418825</v>
      </c>
      <c r="S62" s="62">
        <f ca="1">AVERAGE(OFFSET($R$3,0,0,'Données projet'!$E$9+1,1))-AVERAGE(OFFSET($H$3,0,0,'Données projet'!$E$9+1,1))</f>
        <v>210.54472399593521</v>
      </c>
      <c r="T62" s="62">
        <f t="shared" si="34"/>
        <v>181.14158435194193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59.335122495561073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3</v>
      </c>
      <c r="AI62" s="14">
        <f>IF('Données projet'!$A$62&gt;35,AI61+AH62-AQ61,IF(A62&lt;'Données projet'!$A$62,$AF$205^A62,IF(A62='Données projet'!$A$62,'Données projet'!$B$62,AI61+AH62-AQ61)))</f>
        <v>237.50000000000006</v>
      </c>
      <c r="AJ62" s="14">
        <f>AI62*VLOOKUP('Données projet'!$B$10,Paramètres!$A$1:$I$89,3,0)*VLOOKUP('Données projet'!$B$10,Paramètres!$A$1:$I$89,5,0)</f>
        <v>123.50000000000004</v>
      </c>
      <c r="AK62" s="14">
        <f t="shared" si="35"/>
        <v>32.489945930859669</v>
      </c>
      <c r="AL62" s="22">
        <f t="shared" si="4"/>
        <v>271.68248916291395</v>
      </c>
      <c r="AM62" s="62">
        <f t="shared" si="5"/>
        <v>525.91127164663794</v>
      </c>
      <c r="AN62" s="62">
        <f ca="1">AVERAGE(OFFSET($AM$3,0,0,'Données projet'!$E$10+1,1))-AVERAGE(OFFSET($H$3,0,0,'Données projet'!$E$10+1,1))</f>
        <v>289.05608923588198</v>
      </c>
      <c r="AO62" s="62">
        <f t="shared" si="36"/>
        <v>220.06639020312738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59.335122495561073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1.7724999999999995</v>
      </c>
      <c r="BD62" s="13">
        <f>IF('Données projet'!$A$88&gt;35,BD61+BC62-BL61,IF(A62&lt;'Données projet'!$A$88,$BA$205^A62,IF(A62='Données projet'!$A$88,'Données projet'!$B$88,BD61+BC62-BL61)))</f>
        <v>82.589999999999975</v>
      </c>
      <c r="BE62" s="14">
        <f>BD62*VLOOKUP('Données projet'!$B$11,Paramètres!$A$1:$I$89,3,0)*VLOOKUP('Données projet'!$B$11,Paramètres!$A$1:$I$89,5,0)</f>
        <v>95.143679999999961</v>
      </c>
      <c r="BF62" s="14">
        <f t="shared" si="37"/>
        <v>25.801715632414158</v>
      </c>
      <c r="BG62" s="22">
        <f t="shared" si="7"/>
        <v>210.64656405978792</v>
      </c>
      <c r="BH62" s="62">
        <f t="shared" si="8"/>
        <v>464.87534654351191</v>
      </c>
      <c r="BI62" s="62">
        <f ca="1">AVERAGE(OFFSET($BH$3,0,0,'Données projet'!$E$11+1,1))-AVERAGE(OFFSET($H$3,0,0,'Données projet'!$E$11+1,1))</f>
        <v>299.54950406029354</v>
      </c>
      <c r="BJ62" s="62">
        <f t="shared" si="38"/>
        <v>208.26364698165739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59.335122495561073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4.2307692307692317</v>
      </c>
      <c r="BY62" s="13">
        <f>IF('Données projet'!$A$114&gt;35,BY61+BX62-CG61,IF(A62&lt;'Données projet'!$A$114,$BV$205^A62,IF(A62='Données projet'!$A$114,'Données projet'!$B$114,BY61+BX62-CG61)))</f>
        <v>170.12820512820502</v>
      </c>
      <c r="BZ62" s="14">
        <f>BY62*VLOOKUP('Données projet'!$B$12,Paramètres!$A$1:$I$89,3,0)*VLOOKUP('Données projet'!$B$12,Paramètres!$A$1:$I$89,5,0)</f>
        <v>183.12599999999989</v>
      </c>
      <c r="CA62" s="14">
        <f t="shared" si="39"/>
        <v>46.016965128245296</v>
      </c>
      <c r="CB62" s="22">
        <f t="shared" si="10"/>
        <v>399.09066426502704</v>
      </c>
      <c r="CC62" s="62">
        <f t="shared" si="11"/>
        <v>653.31944674875103</v>
      </c>
      <c r="CD62" s="62">
        <f ca="1">AVERAGE(OFFSET($CC$3,0,0,'Données projet'!$E$12+1,1))-AVERAGE(OFFSET($H$3,0,0,'Données projet'!$E$12+1,1))</f>
        <v>441.30518831297212</v>
      </c>
      <c r="CE62" s="62">
        <f t="shared" si="40"/>
        <v>270.42872405271851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59.335122495561073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4.2</v>
      </c>
      <c r="CT62" s="13">
        <f>IF('Données projet'!$A$140&gt;35,CT61+CS62-DB61,IF(A62&lt;'Données projet'!$A$140,$CQ$205^A62,IF(A62='Données projet'!$A$140,'Données projet'!$B$140,CT61+CS62-DB61)))</f>
        <v>190.79999999999995</v>
      </c>
      <c r="CU62" s="18">
        <f>CT62*VLOOKUP('Données projet'!$B$13,Paramètres!$A$1:$I$89,3,0)*VLOOKUP('Données projet'!$B$13,Paramètres!$A$1:$I$89,5,0)</f>
        <v>166.68287999999998</v>
      </c>
      <c r="CV62" s="14">
        <f t="shared" si="41"/>
        <v>42.346249176975</v>
      </c>
      <c r="CW62" s="22">
        <f t="shared" si="13"/>
        <v>364.05906664989806</v>
      </c>
      <c r="CX62" s="62">
        <f t="shared" si="14"/>
        <v>618.28784913362199</v>
      </c>
      <c r="CY62" s="62">
        <f ca="1">AVERAGE(OFFSET($CX$3,0,0,'Données projet'!$E$13+1,1))-AVERAGE(OFFSET($H$3,0,0,'Données projet'!$E$13+1,1))</f>
        <v>310.81258463659196</v>
      </c>
      <c r="CZ62" s="62">
        <f t="shared" si="42"/>
        <v>287.31099756692083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59.335122495561073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4.2307692307692317</v>
      </c>
      <c r="DO62" s="13">
        <f>IF('Données projet'!$A$166&gt;35,DO61+DN62-DW61,IF(A62&lt;'Données projet'!$A$166,$DL$205^A62,IF(A62='Données projet'!$A$166,'Données projet'!$B$166,DO61+DN62-DW61)))</f>
        <v>170.12820512820502</v>
      </c>
      <c r="DP62" s="18">
        <f>DO62*VLOOKUP('Données projet'!$B$14,Paramètres!$A$1:$I$89,3,0)*VLOOKUP('Données projet'!$B$14,Paramètres!$A$1:$I$89,5,0)</f>
        <v>177.8179999999999</v>
      </c>
      <c r="DQ62" s="14">
        <f t="shared" si="43"/>
        <v>44.836387317687525</v>
      </c>
      <c r="DR62" s="22">
        <f t="shared" si="16"/>
        <v>387.7897245783056</v>
      </c>
      <c r="DS62" s="62">
        <f t="shared" si="17"/>
        <v>642.01850706202958</v>
      </c>
      <c r="DT62" s="62">
        <f ca="1">AVERAGE(OFFSET($DS$3,0,0,'Données projet'!$E$14+1,1))-AVERAGE(OFFSET($H$3,0,0,'Données projet'!$E$14+1,1))</f>
        <v>431.19274104373625</v>
      </c>
      <c r="DU62" s="62">
        <f t="shared" si="44"/>
        <v>264.67919175178133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59.335122495561073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10.984615384615381</v>
      </c>
      <c r="EJ62" s="13">
        <f>IF('Données projet'!$A$192&gt;35,EJ61+EI62-ER61,IF(A62&lt;'Données projet'!$A$192,$EG$205^A62,IF(A62='Données projet'!$A$192,'Données projet'!$B$192,EJ61+EI62-ER61)))</f>
        <v>306.75384615384598</v>
      </c>
      <c r="EK62" s="18">
        <f>EJ62*VLOOKUP('Données projet'!$B$15,Paramètres!$A$1:$I$89,3,0)*VLOOKUP('Données projet'!$B$15,Paramètres!$A$1:$I$89,5,0)</f>
        <v>143.56079999999992</v>
      </c>
      <c r="EL62" s="14">
        <f t="shared" si="45"/>
        <v>37.111538546158371</v>
      </c>
      <c r="EM62" s="22">
        <f t="shared" si="19"/>
        <v>314.67098963455902</v>
      </c>
      <c r="EN62" s="62">
        <f t="shared" si="20"/>
        <v>568.89977211828295</v>
      </c>
      <c r="EO62" s="62">
        <f ca="1">AVERAGE(OFFSET($EN$3,0,0,'Données projet'!$E$15+1,1))-AVERAGE(OFFSET($H$3,0,0,'Données projet'!$E$15+1,1))</f>
        <v>291.68530745507815</v>
      </c>
      <c r="EP62" s="62">
        <f t="shared" si="46"/>
        <v>175.95121106728979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0</v>
      </c>
      <c r="EZ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59.335122495561073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4.5999999999999996</v>
      </c>
      <c r="FE62" s="13">
        <f>IF('Données projet'!$A$218&gt;35,FE61+FD62-FM61,IF(A62&lt;'Données projet'!$A$218,$FB$205^A62,IF(A62='Données projet'!$A$218,'Données projet'!$B$218,FE61+FD62-FM61)))</f>
        <v>160.39999999999984</v>
      </c>
      <c r="FF62" s="18">
        <f>FE62*VLOOKUP('Données projet'!$B$16,Paramètres!$A$1:$I$89,3,0)*VLOOKUP('Données projet'!$B$16,Paramètres!$A$1:$I$89,5,0)</f>
        <v>105.09407999999989</v>
      </c>
      <c r="FG62" s="14">
        <f t="shared" si="47"/>
        <v>28.172060278105018</v>
      </c>
      <c r="FH62" s="22">
        <f t="shared" si="22"/>
        <v>232.10519431769936</v>
      </c>
      <c r="FI62" s="62">
        <f t="shared" si="23"/>
        <v>486.33397680142332</v>
      </c>
      <c r="FJ62" s="62">
        <f ca="1">AVERAGE(OFFSET($FI$3,0,0,'Données projet'!$E$16+1,1))-AVERAGE(OFFSET($H$3,0,0,'Données projet'!$E$16+1,1))</f>
        <v>248.75689726928428</v>
      </c>
      <c r="FK62" s="62">
        <f t="shared" si="48"/>
        <v>232.02291680388336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projet'!$B$16,Paramètres!$A$1:$I$89,3,0)*0.475*44/12</f>
        <v>0</v>
      </c>
      <c r="FR62" s="23">
        <f>EXP(-LN(2)/25)*FR61+(1-EXP(-LN(2)/25))/(LN(2)/25)*Calculateur!FM62*Calculateur!FO62*VLOOKUP('Données projet'!$B$16,Paramètres!$A$1:$I$89,3,0)*0.475*44/12</f>
        <v>0</v>
      </c>
      <c r="FS62" s="23">
        <f>EXP(-LN(2)/2)*FS61+(1-EXP(-LN(2)/2))/(LN(2)/2)*FM62*FP62*VLOOKUP('Données projet'!$B$16,Paramètres!$A$1:$I$89,3,0)*0.475*44/12</f>
        <v>0</v>
      </c>
      <c r="FT62" s="24">
        <f t="shared" si="24"/>
        <v>0</v>
      </c>
      <c r="FU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59.335122495561073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12.8</v>
      </c>
      <c r="FZ62" s="13">
        <f>IF('Données projet'!$A$244&gt;35,FZ61+FY62-GH61,IF(A62&lt;'Données projet'!$A$244,$FW$205^A62,IF(A62='Données projet'!$A$244,'Données projet'!$B$244,FZ61+FY62-GH61)))</f>
        <v>235.59999999999991</v>
      </c>
      <c r="GA62" s="18">
        <f>FZ62*VLOOKUP('Données projet'!$B$17,Paramètres!$A$1:$I$89,3,0)*VLOOKUP('Données projet'!$B$17,Paramètres!$A$1:$I$89,5,0)</f>
        <v>140.88879999999995</v>
      </c>
      <c r="GB62" s="14">
        <f t="shared" si="49"/>
        <v>36.500542039399996</v>
      </c>
      <c r="GC62" s="22">
        <f t="shared" si="25"/>
        <v>308.95310405195488</v>
      </c>
      <c r="GD62" s="62">
        <f t="shared" si="26"/>
        <v>563.18188653567881</v>
      </c>
      <c r="GE62" s="62">
        <f ca="1">AVERAGE(OFFSET($GD$3,0,0,'Données projet'!$E$17+1,1))-AVERAGE(OFFSET($H$3,0,0,'Données projet'!$E$17+1,1))</f>
        <v>315.909549580511</v>
      </c>
      <c r="GF62" s="62">
        <f t="shared" si="50"/>
        <v>208.56856525402051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projet'!$B$17,Paramètres!$A$1:$I$89,3,0)*0.475*44/12</f>
        <v>0</v>
      </c>
      <c r="GM62" s="23">
        <f>EXP(-LN(2)/25)*GM61+(1-EXP(-LN(2)/25))/(LN(2)/25)*Calculateur!GH62*Calculateur!GJ62*VLOOKUP('Données projet'!$B$17,Paramètres!$A$1:$I$89,3,0)*0.475*44/12</f>
        <v>0</v>
      </c>
      <c r="GN62" s="23">
        <f>EXP(-LN(2)/2)*GN61+(1-EXP(-LN(2)/2))/(LN(2)/2)*GH62*GK62*VLOOKUP('Données projet'!$B$17,Paramètres!$A$1:$I$89,3,0)*0.475*44/12</f>
        <v>0</v>
      </c>
      <c r="GO62" s="23">
        <f t="shared" si="27"/>
        <v>0</v>
      </c>
      <c r="GP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59.335122495561073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3.9743589743589722</v>
      </c>
      <c r="GU62" s="13">
        <f>IF('Données projet'!$A$270&gt;35,GU61+GT62-HC61,IF(A62&lt;'Données projet'!$A$270,$GR$205^A62,IF(A62='Données projet'!$A$270,'Données projet'!$B$270,GU61+GT62-HC61)))</f>
        <v>140.89743589743597</v>
      </c>
      <c r="GV62" s="18">
        <f>GU62*VLOOKUP('Données projet'!$B$18,Paramètres!$A$1:$I$89,3,0)*VLOOKUP('Données projet'!$B$18,Paramètres!$A$1:$I$89,5,0)</f>
        <v>94.514000000000053</v>
      </c>
      <c r="GW62" s="14">
        <f t="shared" si="51"/>
        <v>25.650773004029649</v>
      </c>
      <c r="GX62" s="22">
        <f t="shared" si="28"/>
        <v>209.28697964868505</v>
      </c>
      <c r="GY62" s="62">
        <f t="shared" si="29"/>
        <v>463.51576213240901</v>
      </c>
      <c r="GZ62" s="62">
        <f ca="1">AVERAGE(OFFSET($GY$3,0,0,'Données projet'!$E$18+1,1))-AVERAGE(OFFSET($H$3,0,0,'Données projet'!$E$18+1,1))</f>
        <v>254.35742752782755</v>
      </c>
      <c r="HA62" s="62">
        <f t="shared" si="52"/>
        <v>171.79611712137395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>
        <f>EXP(-LN(2)/35)*HG61+(1-EXP(-LN(2)/35))/(LN(2)/35)*HC62*HD62*VLOOKUP('Données projet'!$B$18,Paramètres!$A$1:$I$89,3,0)*0.475*44/12</f>
        <v>0</v>
      </c>
      <c r="HH62" s="23">
        <f>EXP(-LN(2)/25)*HH61+(1-EXP(-LN(2)/25))/(LN(2)/25)*Calculateur!HC62*Calculateur!HE62*VLOOKUP('Données projet'!$B$18,Paramètres!$A$1:$I$89,3,0)*0.475*44/12</f>
        <v>0</v>
      </c>
      <c r="HI62" s="23">
        <f>EXP(-LN(2)/2)*HI61+(1-EXP(-LN(2)/2))/(LN(2)/2)*HC62*HF62*VLOOKUP('Données projet'!$B$18,Paramètres!$A$1:$I$89,3,0)*0.475*44/12</f>
        <v>0</v>
      </c>
      <c r="HJ62" s="24">
        <f t="shared" si="30"/>
        <v>0</v>
      </c>
    </row>
    <row r="63" spans="1:218" s="5" customFormat="1" x14ac:dyDescent="0.3">
      <c r="A63" s="11">
        <f t="shared" si="31"/>
        <v>60</v>
      </c>
      <c r="B63" s="76">
        <f>'Scénario référence'!$B$16*5+'Scénario référence'!$B$17*0+'Scénario référence'!$B$18*5</f>
        <v>3.9405000000000001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14.448500000000001</v>
      </c>
      <c r="H63" s="69">
        <f t="shared" si="1"/>
        <v>161.30656666666667</v>
      </c>
      <c r="I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59.52013427716895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5.1989010989010991</v>
      </c>
      <c r="N63" s="14">
        <f>IF('Données projet'!$A$36&gt;35,N62+M63-V62,IF(A63&lt;'Données projet'!$A$36,$K$205^A63,IF(A63='Données projet'!$A$36,'Données projet'!$B$36,N62+M63-V62)))</f>
        <v>153.20659340659347</v>
      </c>
      <c r="O63" s="14">
        <f>N63*VLOOKUP('Données projet'!$B$9,Paramètres!$A$1:$I$89,3,0)*VLOOKUP('Données projet'!$B$9,Paramètres!$A$1:$I$89,5,0)</f>
        <v>89.625857142857186</v>
      </c>
      <c r="P63" s="14">
        <f t="shared" si="33"/>
        <v>24.474968880469344</v>
      </c>
      <c r="Q63" s="22">
        <f t="shared" si="53"/>
        <v>198.72560532396037</v>
      </c>
      <c r="R63" s="62">
        <f t="shared" si="0"/>
        <v>453.63276434024652</v>
      </c>
      <c r="S63" s="62">
        <f ca="1">AVERAGE(OFFSET($R$3,0,0,'Données projet'!$E$9+1,1))-AVERAGE(OFFSET($H$3,0,0,'Données projet'!$E$9+1,1))</f>
        <v>210.54472399593521</v>
      </c>
      <c r="T63" s="62">
        <f t="shared" si="34"/>
        <v>181.14158435194193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59.52013427716895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240.5</v>
      </c>
      <c r="AG63" s="13">
        <f>VLOOKUP(A63,'Données projet'!$A$61:$I$81,9,0)</f>
        <v>3</v>
      </c>
      <c r="AH63" s="13">
        <f t="array" ref="AH63">INDEX(AG:AG,MIN(IF(ISNUMBER(AG63:AG259),ROW(AG63:AG259),"")))</f>
        <v>3</v>
      </c>
      <c r="AI63" s="14">
        <f>IF('Données projet'!$A$62&gt;35,AI62+AH63-AQ62,IF(A63&lt;'Données projet'!$A$62,$AF$205^A63,IF(A63='Données projet'!$A$62,'Données projet'!$B$62,AI62+AH63-AQ62)))</f>
        <v>240.50000000000006</v>
      </c>
      <c r="AJ63" s="14">
        <f>AI63*VLOOKUP('Données projet'!$B$10,Paramètres!$A$1:$I$89,3,0)*VLOOKUP('Données projet'!$B$10,Paramètres!$A$1:$I$89,5,0)</f>
        <v>125.06000000000004</v>
      </c>
      <c r="AK63" s="14">
        <f t="shared" si="35"/>
        <v>32.852309422756704</v>
      </c>
      <c r="AL63" s="22">
        <f t="shared" si="4"/>
        <v>275.030605577968</v>
      </c>
      <c r="AM63" s="62">
        <f t="shared" si="5"/>
        <v>529.93776459425419</v>
      </c>
      <c r="AN63" s="62">
        <f ca="1">AVERAGE(OFFSET($AM$3,0,0,'Données projet'!$E$10+1,1))-AVERAGE(OFFSET($H$3,0,0,'Données projet'!$E$10+1,1))</f>
        <v>289.05608923588198</v>
      </c>
      <c r="AO63" s="62">
        <f t="shared" si="36"/>
        <v>220.06639020312738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59.52013427716895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84.362499999999997</v>
      </c>
      <c r="BB63" s="13">
        <f>VLOOKUP(A63,'Données projet'!$A$87:$I$107,9,0)</f>
        <v>1.7724999999999995</v>
      </c>
      <c r="BC63" s="13">
        <f t="array" ref="BC63">INDEX(BB:BB,MIN(IF(ISNUMBER(BB63:BB259),ROW(BB63:BB259),"")))</f>
        <v>1.7724999999999995</v>
      </c>
      <c r="BD63" s="13">
        <f>IF('Données projet'!$A$88&gt;35,BD62+BC63-BL62,IF(A63&lt;'Données projet'!$A$88,$BA$205^A63,IF(A63='Données projet'!$A$88,'Données projet'!$B$88,BD62+BC63-BL62)))</f>
        <v>84.362499999999969</v>
      </c>
      <c r="BE63" s="14">
        <f>BD63*VLOOKUP('Données projet'!$B$11,Paramètres!$A$1:$I$89,3,0)*VLOOKUP('Données projet'!$B$11,Paramètres!$A$1:$I$89,5,0)</f>
        <v>97.185599999999965</v>
      </c>
      <c r="BF63" s="14">
        <f t="shared" si="37"/>
        <v>26.290395628270069</v>
      </c>
      <c r="BG63" s="22">
        <f t="shared" si="7"/>
        <v>215.05402571923696</v>
      </c>
      <c r="BH63" s="62">
        <f t="shared" si="8"/>
        <v>469.96118473552315</v>
      </c>
      <c r="BI63" s="62">
        <f ca="1">AVERAGE(OFFSET($BH$3,0,0,'Données projet'!$E$11+1,1))-AVERAGE(OFFSET($H$3,0,0,'Données projet'!$E$11+1,1))</f>
        <v>299.54950406029354</v>
      </c>
      <c r="BJ63" s="62">
        <f t="shared" si="38"/>
        <v>208.26364698165739</v>
      </c>
      <c r="BK63" s="16">
        <f>IF(ISNA(VLOOKUP(A63,'Données projet'!$A$87:$I$107,3,0)),0,VLOOKUP(A63,'Données projet'!$A$87:$I$107,3,0))</f>
        <v>4</v>
      </c>
      <c r="BL63" s="16">
        <f>IF(ISNA(VLOOKUP(A63,'Données projet'!$A$87:$I$107,4,0)),0,VLOOKUP(A63,'Données projet'!$A$87:$I$107,4,0))</f>
        <v>8.25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59.52013427716895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174.35897435897436</v>
      </c>
      <c r="BW63" s="13">
        <f>VLOOKUP(A63,'Données projet'!$A$113:$I$133,9,0)</f>
        <v>4.2307692307692317</v>
      </c>
      <c r="BX63" s="13">
        <f t="array" ref="BX63">INDEX(BW:BW,MIN(IF(ISNUMBER(BW63:BW259),ROW(BW63:BW259),"")))</f>
        <v>4.2307692307692317</v>
      </c>
      <c r="BY63" s="13">
        <f>IF('Données projet'!$A$114&gt;35,BY62+BX63-CG62,IF(A63&lt;'Données projet'!$A$114,$BV$205^A63,IF(A63='Données projet'!$A$114,'Données projet'!$B$114,BY62+BX63-CG62)))</f>
        <v>174.35897435897425</v>
      </c>
      <c r="BZ63" s="14">
        <f>BY63*VLOOKUP('Données projet'!$B$12,Paramètres!$A$1:$I$89,3,0)*VLOOKUP('Données projet'!$B$12,Paramètres!$A$1:$I$89,5,0)</f>
        <v>187.67999999999986</v>
      </c>
      <c r="CA63" s="14">
        <f t="shared" si="39"/>
        <v>47.02666761672112</v>
      </c>
      <c r="CB63" s="22">
        <f t="shared" si="10"/>
        <v>408.78077943245563</v>
      </c>
      <c r="CC63" s="62">
        <f t="shared" si="11"/>
        <v>663.68793844874176</v>
      </c>
      <c r="CD63" s="62">
        <f ca="1">AVERAGE(OFFSET($CC$3,0,0,'Données projet'!$E$12+1,1))-AVERAGE(OFFSET($H$3,0,0,'Données projet'!$E$12+1,1))</f>
        <v>441.30518831297212</v>
      </c>
      <c r="CE63" s="62">
        <f t="shared" si="40"/>
        <v>270.42872405271851</v>
      </c>
      <c r="CF63" s="16">
        <f>IF(ISNA(VLOOKUP(A63,'Données projet'!$A$113:$I$133,3,0)),0,VLOOKUP(A63,'Données projet'!$A$113:$I$133,3,0))</f>
        <v>4</v>
      </c>
      <c r="CG63" s="16">
        <f>IF(ISNA(VLOOKUP(A63,'Données projet'!$A$113:$I$133,4,0)),0,VLOOKUP(A63,'Données projet'!$A$113:$I$133,4,0))</f>
        <v>19.23076923076923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59.52013427716895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195</v>
      </c>
      <c r="CR63" s="13">
        <f>VLOOKUP(A63,'Données projet'!$A$139:$I$159,9,0)</f>
        <v>4.2</v>
      </c>
      <c r="CS63" s="13">
        <f t="array" ref="CS63">INDEX(CR:CR,MIN(IF(ISNUMBER(CR63:CR259),ROW(CR63:CR259),"")))</f>
        <v>4.2</v>
      </c>
      <c r="CT63" s="13">
        <f>IF('Données projet'!$A$140&gt;35,CT62+CS63-DB62,IF(A63&lt;'Données projet'!$A$140,$CQ$205^A63,IF(A63='Données projet'!$A$140,'Données projet'!$B$140,CT62+CS63-DB62)))</f>
        <v>194.99999999999994</v>
      </c>
      <c r="CU63" s="18">
        <f>CT63*VLOOKUP('Données projet'!$B$13,Paramètres!$A$1:$I$89,3,0)*VLOOKUP('Données projet'!$B$13,Paramètres!$A$1:$I$89,5,0)</f>
        <v>170.35199999999998</v>
      </c>
      <c r="CV63" s="14">
        <f t="shared" si="41"/>
        <v>43.168850382694451</v>
      </c>
      <c r="CW63" s="22">
        <f t="shared" si="13"/>
        <v>371.88214774985937</v>
      </c>
      <c r="CX63" s="62">
        <f t="shared" si="14"/>
        <v>626.7893067661455</v>
      </c>
      <c r="CY63" s="62">
        <f ca="1">AVERAGE(OFFSET($CX$3,0,0,'Données projet'!$E$13+1,1))-AVERAGE(OFFSET($H$3,0,0,'Données projet'!$E$13+1,1))</f>
        <v>310.81258463659196</v>
      </c>
      <c r="CZ63" s="62">
        <f t="shared" si="42"/>
        <v>287.31099756692083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59.52013427716895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174.35897435897436</v>
      </c>
      <c r="DM63" s="13">
        <f>VLOOKUP(A63,'Données projet'!$A$165:$I$185,9,0)</f>
        <v>4.2307692307692317</v>
      </c>
      <c r="DN63" s="13">
        <f t="array" ref="DN63">INDEX(DM:DM,MIN(IF(ISNUMBER(DM63:DM259),ROW(DM63:DM259),"")))</f>
        <v>4.2307692307692317</v>
      </c>
      <c r="DO63" s="13">
        <f>IF('Données projet'!$A$166&gt;35,DO62+DN63-DW62,IF(A63&lt;'Données projet'!$A$166,$DL$205^A63,IF(A63='Données projet'!$A$166,'Données projet'!$B$166,DO62+DN63-DW62)))</f>
        <v>174.35897435897425</v>
      </c>
      <c r="DP63" s="18">
        <f>DO63*VLOOKUP('Données projet'!$B$14,Paramètres!$A$1:$I$89,3,0)*VLOOKUP('Données projet'!$B$14,Paramètres!$A$1:$I$89,5,0)</f>
        <v>182.23999999999992</v>
      </c>
      <c r="DQ63" s="14">
        <f t="shared" si="43"/>
        <v>45.820185613006778</v>
      </c>
      <c r="DR63" s="22">
        <f t="shared" si="16"/>
        <v>397.20482327598666</v>
      </c>
      <c r="DS63" s="62">
        <f t="shared" si="17"/>
        <v>652.11198229227284</v>
      </c>
      <c r="DT63" s="62">
        <f ca="1">AVERAGE(OFFSET($DS$3,0,0,'Données projet'!$E$14+1,1))-AVERAGE(OFFSET($H$3,0,0,'Données projet'!$E$14+1,1))</f>
        <v>431.19274104373625</v>
      </c>
      <c r="DU63" s="62">
        <f t="shared" si="44"/>
        <v>264.67919175178133</v>
      </c>
      <c r="DV63" s="16">
        <f>IF(ISNA(VLOOKUP(A63,'Données projet'!$A$165:$I$185,3,0)),0,VLOOKUP(A63,'Données projet'!$A$165:$I$185,3,0))</f>
        <v>4</v>
      </c>
      <c r="DW63" s="16">
        <f>IF(ISNA(VLOOKUP(A63,'Données projet'!$A$165:$I$185,4,0)),0,VLOOKUP(A63,'Données projet'!$A$165:$I$185,4,0))</f>
        <v>19.23076923076923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59.52013427716895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10.984615384615381</v>
      </c>
      <c r="EJ63" s="13">
        <f>IF('Données projet'!$A$192&gt;35,EJ62+EI63-ER62,IF(A63&lt;'Données projet'!$A$192,$EG$205^A63,IF(A63='Données projet'!$A$192,'Données projet'!$B$192,EJ62+EI63-ER62)))</f>
        <v>317.73846153846137</v>
      </c>
      <c r="EK63" s="18">
        <f>EJ63*VLOOKUP('Données projet'!$B$15,Paramètres!$A$1:$I$89,3,0)*VLOOKUP('Données projet'!$B$15,Paramètres!$A$1:$I$89,5,0)</f>
        <v>148.70159999999993</v>
      </c>
      <c r="EL63" s="14">
        <f t="shared" si="45"/>
        <v>38.283370432550541</v>
      </c>
      <c r="EM63" s="22">
        <f t="shared" si="19"/>
        <v>325.66549017002541</v>
      </c>
      <c r="EN63" s="62">
        <f t="shared" si="20"/>
        <v>580.57264918631154</v>
      </c>
      <c r="EO63" s="62">
        <f ca="1">AVERAGE(OFFSET($EN$3,0,0,'Données projet'!$E$15+1,1))-AVERAGE(OFFSET($H$3,0,0,'Données projet'!$E$15+1,1))</f>
        <v>291.68530745507815</v>
      </c>
      <c r="EP63" s="62">
        <f t="shared" si="46"/>
        <v>175.95121106728979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0</v>
      </c>
      <c r="EZ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59.52013427716895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>
        <f>VLOOKUP(A63,'Données projet'!$A$217:$I$237,2,0)</f>
        <v>165</v>
      </c>
      <c r="FC63" s="13">
        <f>VLOOKUP(A63,'Données projet'!$A$217:$I$237,9,0)</f>
        <v>4.5999999999999996</v>
      </c>
      <c r="FD63" s="13">
        <f t="array" ref="FD63">INDEX(FC:FC,MIN(IF(ISNUMBER(FC63:FC259),ROW(FC63:FC259),"")))</f>
        <v>4.5999999999999996</v>
      </c>
      <c r="FE63" s="13">
        <f>IF('Données projet'!$A$218&gt;35,FE62+FD63-FM62,IF(A63&lt;'Données projet'!$A$218,$FB$205^A63,IF(A63='Données projet'!$A$218,'Données projet'!$B$218,FE62+FD63-FM62)))</f>
        <v>164.99999999999983</v>
      </c>
      <c r="FF63" s="18">
        <f>FE63*VLOOKUP('Données projet'!$B$16,Paramètres!$A$1:$I$89,3,0)*VLOOKUP('Données projet'!$B$16,Paramètres!$A$1:$I$89,5,0)</f>
        <v>108.10799999999989</v>
      </c>
      <c r="FG63" s="14">
        <f t="shared" si="47"/>
        <v>28.884765499467136</v>
      </c>
      <c r="FH63" s="22">
        <f t="shared" si="22"/>
        <v>238.59573324490506</v>
      </c>
      <c r="FI63" s="62">
        <f t="shared" si="23"/>
        <v>493.50289226119122</v>
      </c>
      <c r="FJ63" s="62">
        <f ca="1">AVERAGE(OFFSET($FI$3,0,0,'Données projet'!$E$16+1,1))-AVERAGE(OFFSET($H$3,0,0,'Données projet'!$E$16+1,1))</f>
        <v>248.75689726928428</v>
      </c>
      <c r="FK63" s="62">
        <f t="shared" si="48"/>
        <v>232.02291680388336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projet'!$B$16,Paramètres!$A$1:$I$89,3,0)*0.475*44/12</f>
        <v>0</v>
      </c>
      <c r="FR63" s="23">
        <f>EXP(-LN(2)/25)*FR62+(1-EXP(-LN(2)/25))/(LN(2)/25)*Calculateur!FM63*Calculateur!FO63*VLOOKUP('Données projet'!$B$16,Paramètres!$A$1:$I$89,3,0)*0.475*44/12</f>
        <v>0</v>
      </c>
      <c r="FS63" s="23">
        <f>EXP(-LN(2)/2)*FS62+(1-EXP(-LN(2)/2))/(LN(2)/2)*FM63*FP63*VLOOKUP('Données projet'!$B$16,Paramètres!$A$1:$I$89,3,0)*0.475*44/12</f>
        <v>0</v>
      </c>
      <c r="FT63" s="24">
        <f t="shared" si="24"/>
        <v>0</v>
      </c>
      <c r="FU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59.52013427716895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12.8</v>
      </c>
      <c r="FZ63" s="13">
        <f>IF('Données projet'!$A$244&gt;35,FZ62+FY63-GH62,IF(A63&lt;'Données projet'!$A$244,$FW$205^A63,IF(A63='Données projet'!$A$244,'Données projet'!$B$244,FZ62+FY63-GH62)))</f>
        <v>248.39999999999992</v>
      </c>
      <c r="GA63" s="18">
        <f>FZ63*VLOOKUP('Données projet'!$B$17,Paramètres!$A$1:$I$89,3,0)*VLOOKUP('Données projet'!$B$17,Paramètres!$A$1:$I$89,5,0)</f>
        <v>148.54319999999996</v>
      </c>
      <c r="GB63" s="14">
        <f t="shared" si="49"/>
        <v>38.247334783976747</v>
      </c>
      <c r="GC63" s="22">
        <f t="shared" si="25"/>
        <v>325.32684808209274</v>
      </c>
      <c r="GD63" s="62">
        <f t="shared" si="26"/>
        <v>580.23400709837892</v>
      </c>
      <c r="GE63" s="62">
        <f ca="1">AVERAGE(OFFSET($GD$3,0,0,'Données projet'!$E$17+1,1))-AVERAGE(OFFSET($H$3,0,0,'Données projet'!$E$17+1,1))</f>
        <v>315.909549580511</v>
      </c>
      <c r="GF63" s="62">
        <f t="shared" si="50"/>
        <v>208.56856525402051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>
        <f>EXP(-LN(2)/35)*GL62+(1-EXP(-LN(2)/35))/(LN(2)/35)*GH63*GI63*VLOOKUP('Données projet'!$B$17,Paramètres!$A$1:$I$89,3,0)*0.475*44/12</f>
        <v>0</v>
      </c>
      <c r="GM63" s="23">
        <f>EXP(-LN(2)/25)*GM62+(1-EXP(-LN(2)/25))/(LN(2)/25)*Calculateur!GH63*Calculateur!GJ63*VLOOKUP('Données projet'!$B$17,Paramètres!$A$1:$I$89,3,0)*0.475*44/12</f>
        <v>0</v>
      </c>
      <c r="GN63" s="23">
        <f>EXP(-LN(2)/2)*GN62+(1-EXP(-LN(2)/2))/(LN(2)/2)*GH63*GK63*VLOOKUP('Données projet'!$B$17,Paramètres!$A$1:$I$89,3,0)*0.475*44/12</f>
        <v>0</v>
      </c>
      <c r="GO63" s="23">
        <f t="shared" si="27"/>
        <v>0</v>
      </c>
      <c r="GP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59.52013427716895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>
        <f>VLOOKUP(A63,'Données projet'!$A$269:$I$289,2,0)</f>
        <v>144.87179487179486</v>
      </c>
      <c r="GS63" s="13">
        <f>VLOOKUP(A63,'Données projet'!$A$269:$I$289,9,0)</f>
        <v>3.9743589743589722</v>
      </c>
      <c r="GT63" s="13">
        <f t="array" ref="GT63">INDEX(GS:GS,MIN(IF(ISNUMBER(GS63:GS259),ROW(GS63:GS259),"")))</f>
        <v>3.9743589743589722</v>
      </c>
      <c r="GU63" s="13">
        <f>IF('Données projet'!$A$270&gt;35,GU62+GT63-HC62,IF(A63&lt;'Données projet'!$A$270,$GR$205^A63,IF(A63='Données projet'!$A$270,'Données projet'!$B$270,GU62+GT63-HC62)))</f>
        <v>144.87179487179495</v>
      </c>
      <c r="GV63" s="18">
        <f>GU63*VLOOKUP('Données projet'!$B$18,Paramètres!$A$1:$I$89,3,0)*VLOOKUP('Données projet'!$B$18,Paramètres!$A$1:$I$89,5,0)</f>
        <v>97.180000000000049</v>
      </c>
      <c r="GW63" s="14">
        <f t="shared" si="51"/>
        <v>26.289057060413271</v>
      </c>
      <c r="GX63" s="22">
        <f t="shared" si="28"/>
        <v>215.04194104688654</v>
      </c>
      <c r="GY63" s="62">
        <f t="shared" si="29"/>
        <v>469.94910006317269</v>
      </c>
      <c r="GZ63" s="62">
        <f ca="1">AVERAGE(OFFSET($GY$3,0,0,'Données projet'!$E$18+1,1))-AVERAGE(OFFSET($H$3,0,0,'Données projet'!$E$18+1,1))</f>
        <v>254.35742752782755</v>
      </c>
      <c r="HA63" s="62">
        <f t="shared" si="52"/>
        <v>171.79611712137395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>
        <f>EXP(-LN(2)/35)*HG62+(1-EXP(-LN(2)/35))/(LN(2)/35)*HC63*HD63*VLOOKUP('Données projet'!$B$18,Paramètres!$A$1:$I$89,3,0)*0.475*44/12</f>
        <v>0</v>
      </c>
      <c r="HH63" s="23">
        <f>EXP(-LN(2)/25)*HH62+(1-EXP(-LN(2)/25))/(LN(2)/25)*Calculateur!HC63*Calculateur!HE63*VLOOKUP('Données projet'!$B$18,Paramètres!$A$1:$I$89,3,0)*0.475*44/12</f>
        <v>0</v>
      </c>
      <c r="HI63" s="23">
        <f>EXP(-LN(2)/2)*HI62+(1-EXP(-LN(2)/2))/(LN(2)/2)*HC63*HF63*VLOOKUP('Données projet'!$B$18,Paramètres!$A$1:$I$89,3,0)*0.475*44/12</f>
        <v>0</v>
      </c>
      <c r="HJ63" s="24">
        <f t="shared" si="30"/>
        <v>0</v>
      </c>
    </row>
    <row r="64" spans="1:218" s="5" customFormat="1" x14ac:dyDescent="0.3">
      <c r="A64" s="11">
        <f t="shared" si="31"/>
        <v>61</v>
      </c>
      <c r="B64" s="76">
        <f>'Scénario référence'!$B$16*5+'Scénario référence'!$B$17*0+'Scénario référence'!$B$18*5</f>
        <v>3.9405000000000001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14.448500000000001</v>
      </c>
      <c r="H64" s="69">
        <f t="shared" si="1"/>
        <v>161.30656666666667</v>
      </c>
      <c r="I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59.701936517990291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5.1989010989010991</v>
      </c>
      <c r="N64" s="14">
        <f>IF('Données projet'!$A$36&gt;35,N63+M64-V63,IF(A64&lt;'Données projet'!$A$36,$K$205^A64,IF(A64='Données projet'!$A$36,'Données projet'!$B$36,N63+M64-V63)))</f>
        <v>158.40549450549457</v>
      </c>
      <c r="O64" s="14">
        <f>N64*VLOOKUP('Données projet'!$B$9,Paramètres!$A$1:$I$89,3,0)*VLOOKUP('Données projet'!$B$9,Paramètres!$A$1:$I$89,5,0)</f>
        <v>92.667214285714337</v>
      </c>
      <c r="P64" s="14">
        <f t="shared" si="33"/>
        <v>25.207395393497098</v>
      </c>
      <c r="Q64" s="22">
        <f t="shared" si="53"/>
        <v>205.29827852462654</v>
      </c>
      <c r="R64" s="62">
        <f t="shared" si="0"/>
        <v>460.87204575725764</v>
      </c>
      <c r="S64" s="62">
        <f ca="1">AVERAGE(OFFSET($R$3,0,0,'Données projet'!$E$9+1,1))-AVERAGE(OFFSET($H$3,0,0,'Données projet'!$E$9+1,1))</f>
        <v>210.54472399593521</v>
      </c>
      <c r="T64" s="62">
        <f t="shared" si="34"/>
        <v>181.14158435194193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59.701936517990291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2.7600000000000025</v>
      </c>
      <c r="AI64" s="14">
        <f>IF('Données projet'!$A$62&gt;35,AI63+AH64-AQ63,IF(A64&lt;'Données projet'!$A$62,$AF$205^A64,IF(A64='Données projet'!$A$62,'Données projet'!$B$62,AI63+AH64-AQ63)))</f>
        <v>243.26000000000005</v>
      </c>
      <c r="AJ64" s="14">
        <f>AI64*VLOOKUP('Données projet'!$B$10,Paramètres!$A$1:$I$89,3,0)*VLOOKUP('Données projet'!$B$10,Paramètres!$A$1:$I$89,5,0)</f>
        <v>126.49520000000004</v>
      </c>
      <c r="AK64" s="14">
        <f t="shared" si="35"/>
        <v>33.185219299075669</v>
      </c>
      <c r="AL64" s="22">
        <f t="shared" si="4"/>
        <v>278.11006361255681</v>
      </c>
      <c r="AM64" s="62">
        <f t="shared" si="5"/>
        <v>533.68383084518791</v>
      </c>
      <c r="AN64" s="62">
        <f ca="1">AVERAGE(OFFSET($AM$3,0,0,'Données projet'!$E$10+1,1))-AVERAGE(OFFSET($H$3,0,0,'Données projet'!$E$10+1,1))</f>
        <v>289.05608923588198</v>
      </c>
      <c r="AO64" s="62">
        <f t="shared" si="36"/>
        <v>220.06639020312738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59.701936517990291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1.6750000000000014</v>
      </c>
      <c r="BD64" s="13">
        <f>IF('Données projet'!$A$88&gt;35,BD63+BC64-BL63,IF(A64&lt;'Données projet'!$A$88,$BA$205^A64,IF(A64='Données projet'!$A$88,'Données projet'!$B$88,BD63+BC64-BL63)))</f>
        <v>77.787499999999966</v>
      </c>
      <c r="BE64" s="14">
        <f>BD64*VLOOKUP('Données projet'!$B$11,Paramètres!$A$1:$I$89,3,0)*VLOOKUP('Données projet'!$B$11,Paramètres!$A$1:$I$89,5,0)</f>
        <v>89.611199999999954</v>
      </c>
      <c r="BF64" s="14">
        <f t="shared" si="37"/>
        <v>24.471432182378969</v>
      </c>
      <c r="BG64" s="22">
        <f t="shared" si="7"/>
        <v>198.6939177176433</v>
      </c>
      <c r="BH64" s="62">
        <f t="shared" si="8"/>
        <v>454.26768495027437</v>
      </c>
      <c r="BI64" s="62">
        <f ca="1">AVERAGE(OFFSET($BH$3,0,0,'Données projet'!$E$11+1,1))-AVERAGE(OFFSET($H$3,0,0,'Données projet'!$E$11+1,1))</f>
        <v>299.54950406029354</v>
      </c>
      <c r="BJ64" s="62">
        <f t="shared" si="38"/>
        <v>208.26364698165739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59.701936517990291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3.9743589743589722</v>
      </c>
      <c r="BY64" s="13">
        <f>IF('Données projet'!$A$114&gt;35,BY63+BX64-CG63,IF(A64&lt;'Données projet'!$A$114,$BV$205^A64,IF(A64='Données projet'!$A$114,'Données projet'!$B$114,BY63+BX64-CG63)))</f>
        <v>159.102564102564</v>
      </c>
      <c r="BZ64" s="14">
        <f>BY64*VLOOKUP('Données projet'!$B$12,Paramètres!$A$1:$I$89,3,0)*VLOOKUP('Données projet'!$B$12,Paramètres!$A$1:$I$89,5,0)</f>
        <v>171.2579999999999</v>
      </c>
      <c r="CA64" s="14">
        <f t="shared" si="39"/>
        <v>43.371652725826173</v>
      </c>
      <c r="CB64" s="22">
        <f t="shared" si="10"/>
        <v>373.81331183081375</v>
      </c>
      <c r="CC64" s="62">
        <f t="shared" si="11"/>
        <v>629.38707906344484</v>
      </c>
      <c r="CD64" s="62">
        <f ca="1">AVERAGE(OFFSET($CC$3,0,0,'Données projet'!$E$12+1,1))-AVERAGE(OFFSET($H$3,0,0,'Données projet'!$E$12+1,1))</f>
        <v>441.30518831297212</v>
      </c>
      <c r="CE64" s="62">
        <f t="shared" si="40"/>
        <v>270.42872405271851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59.701936517990291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3.2</v>
      </c>
      <c r="CT64" s="13">
        <f>IF('Données projet'!$A$140&gt;35,CT63+CS64-DB63,IF(A64&lt;'Données projet'!$A$140,$CQ$205^A64,IF(A64='Données projet'!$A$140,'Données projet'!$B$140,CT63+CS64-DB63)))</f>
        <v>198.19999999999993</v>
      </c>
      <c r="CU64" s="18">
        <f>CT64*VLOOKUP('Données projet'!$B$13,Paramètres!$A$1:$I$89,3,0)*VLOOKUP('Données projet'!$B$13,Paramètres!$A$1:$I$89,5,0)</f>
        <v>173.14751999999996</v>
      </c>
      <c r="CV64" s="14">
        <f t="shared" si="41"/>
        <v>43.794208927254033</v>
      </c>
      <c r="CW64" s="22">
        <f t="shared" si="13"/>
        <v>377.84017788163402</v>
      </c>
      <c r="CX64" s="62">
        <f t="shared" si="14"/>
        <v>633.41394511426506</v>
      </c>
      <c r="CY64" s="62">
        <f ca="1">AVERAGE(OFFSET($CX$3,0,0,'Données projet'!$E$13+1,1))-AVERAGE(OFFSET($H$3,0,0,'Données projet'!$E$13+1,1))</f>
        <v>310.81258463659196</v>
      </c>
      <c r="CZ64" s="62">
        <f t="shared" si="42"/>
        <v>287.31099756692083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59.701936517990291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3.9743589743589722</v>
      </c>
      <c r="DO64" s="13">
        <f>IF('Données projet'!$A$166&gt;35,DO63+DN64-DW63,IF(A64&lt;'Données projet'!$A$166,$DL$205^A64,IF(A64='Données projet'!$A$166,'Données projet'!$B$166,DO63+DN64-DW63)))</f>
        <v>159.102564102564</v>
      </c>
      <c r="DP64" s="18">
        <f>DO64*VLOOKUP('Données projet'!$B$14,Paramètres!$A$1:$I$89,3,0)*VLOOKUP('Données projet'!$B$14,Paramètres!$A$1:$I$89,5,0)</f>
        <v>166.29399999999993</v>
      </c>
      <c r="DQ64" s="14">
        <f t="shared" si="43"/>
        <v>42.258941127557407</v>
      </c>
      <c r="DR64" s="22">
        <f t="shared" si="16"/>
        <v>363.22970579716235</v>
      </c>
      <c r="DS64" s="62">
        <f t="shared" si="17"/>
        <v>618.80347302979339</v>
      </c>
      <c r="DT64" s="62">
        <f ca="1">AVERAGE(OFFSET($DS$3,0,0,'Données projet'!$E$14+1,1))-AVERAGE(OFFSET($H$3,0,0,'Données projet'!$E$14+1,1))</f>
        <v>431.19274104373625</v>
      </c>
      <c r="DU64" s="62">
        <f t="shared" si="44"/>
        <v>264.67919175178133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59.701936517990291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10.984615384615381</v>
      </c>
      <c r="EJ64" s="13">
        <f>IF('Données projet'!$A$192&gt;35,EJ63+EI64-ER63,IF(A64&lt;'Données projet'!$A$192,$EG$205^A64,IF(A64='Données projet'!$A$192,'Données projet'!$B$192,EJ63+EI64-ER63)))</f>
        <v>328.72307692307675</v>
      </c>
      <c r="EK64" s="18">
        <f>EJ64*VLOOKUP('Données projet'!$B$15,Paramètres!$A$1:$I$89,3,0)*VLOOKUP('Données projet'!$B$15,Paramètres!$A$1:$I$89,5,0)</f>
        <v>153.84239999999991</v>
      </c>
      <c r="EL64" s="14">
        <f t="shared" si="45"/>
        <v>39.450495242764717</v>
      </c>
      <c r="EM64" s="22">
        <f t="shared" si="19"/>
        <v>336.65179254781509</v>
      </c>
      <c r="EN64" s="62">
        <f t="shared" si="20"/>
        <v>592.22555978044613</v>
      </c>
      <c r="EO64" s="62">
        <f ca="1">AVERAGE(OFFSET($EN$3,0,0,'Données projet'!$E$15+1,1))-AVERAGE(OFFSET($H$3,0,0,'Données projet'!$E$15+1,1))</f>
        <v>291.68530745507815</v>
      </c>
      <c r="EP64" s="62">
        <f t="shared" si="46"/>
        <v>175.95121106728979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0</v>
      </c>
      <c r="EZ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59.701936517990291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4.2</v>
      </c>
      <c r="FE64" s="13">
        <f>IF('Données projet'!$A$218&gt;35,FE63+FD64-FM63,IF(A64&lt;'Données projet'!$A$218,$FB$205^A64,IF(A64='Données projet'!$A$218,'Données projet'!$B$218,FE63+FD64-FM63)))</f>
        <v>169.19999999999982</v>
      </c>
      <c r="FF64" s="18">
        <f>FE64*VLOOKUP('Données projet'!$B$16,Paramètres!$A$1:$I$89,3,0)*VLOOKUP('Données projet'!$B$16,Paramètres!$A$1:$I$89,5,0)</f>
        <v>110.85983999999988</v>
      </c>
      <c r="FG64" s="14">
        <f t="shared" si="47"/>
        <v>29.533477687335399</v>
      </c>
      <c r="FH64" s="22">
        <f t="shared" si="22"/>
        <v>244.51836163877559</v>
      </c>
      <c r="FI64" s="62">
        <f t="shared" si="23"/>
        <v>500.09212887140666</v>
      </c>
      <c r="FJ64" s="62">
        <f ca="1">AVERAGE(OFFSET($FI$3,0,0,'Données projet'!$E$16+1,1))-AVERAGE(OFFSET($H$3,0,0,'Données projet'!$E$16+1,1))</f>
        <v>248.75689726928428</v>
      </c>
      <c r="FK64" s="62">
        <f t="shared" si="48"/>
        <v>232.02291680388336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projet'!$B$16,Paramètres!$A$1:$I$89,3,0)*0.475*44/12</f>
        <v>0</v>
      </c>
      <c r="FR64" s="23">
        <f>EXP(-LN(2)/25)*FR63+(1-EXP(-LN(2)/25))/(LN(2)/25)*Calculateur!FM64*Calculateur!FO64*VLOOKUP('Données projet'!$B$16,Paramètres!$A$1:$I$89,3,0)*0.475*44/12</f>
        <v>0</v>
      </c>
      <c r="FS64" s="23">
        <f>EXP(-LN(2)/2)*FS63+(1-EXP(-LN(2)/2))/(LN(2)/2)*FM64*FP64*VLOOKUP('Données projet'!$B$16,Paramètres!$A$1:$I$89,3,0)*0.475*44/12</f>
        <v>0</v>
      </c>
      <c r="FT64" s="24">
        <f t="shared" si="24"/>
        <v>0</v>
      </c>
      <c r="FU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59.701936517990291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12.8</v>
      </c>
      <c r="FZ64" s="13">
        <f>IF('Données projet'!$A$244&gt;35,FZ63+FY64-GH63,IF(A64&lt;'Données projet'!$A$244,$FW$205^A64,IF(A64='Données projet'!$A$244,'Données projet'!$B$244,FZ63+FY64-GH63)))</f>
        <v>261.19999999999993</v>
      </c>
      <c r="GA64" s="18">
        <f>FZ64*VLOOKUP('Données projet'!$B$17,Paramètres!$A$1:$I$89,3,0)*VLOOKUP('Données projet'!$B$17,Paramètres!$A$1:$I$89,5,0)</f>
        <v>156.19759999999997</v>
      </c>
      <c r="GB64" s="14">
        <f t="shared" si="49"/>
        <v>39.983676624078981</v>
      </c>
      <c r="GC64" s="22">
        <f t="shared" si="25"/>
        <v>341.68239012027084</v>
      </c>
      <c r="GD64" s="62">
        <f t="shared" si="26"/>
        <v>597.25615735290194</v>
      </c>
      <c r="GE64" s="62">
        <f ca="1">AVERAGE(OFFSET($GD$3,0,0,'Données projet'!$E$17+1,1))-AVERAGE(OFFSET($H$3,0,0,'Données projet'!$E$17+1,1))</f>
        <v>315.909549580511</v>
      </c>
      <c r="GF64" s="62">
        <f t="shared" si="50"/>
        <v>208.56856525402051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projet'!$B$17,Paramètres!$A$1:$I$89,3,0)*0.475*44/12</f>
        <v>0</v>
      </c>
      <c r="GM64" s="23">
        <f>EXP(-LN(2)/25)*GM63+(1-EXP(-LN(2)/25))/(LN(2)/25)*Calculateur!GH64*Calculateur!GJ64*VLOOKUP('Données projet'!$B$17,Paramètres!$A$1:$I$89,3,0)*0.475*44/12</f>
        <v>0</v>
      </c>
      <c r="GN64" s="23">
        <f>EXP(-LN(2)/2)*GN63+(1-EXP(-LN(2)/2))/(LN(2)/2)*GH64*GK64*VLOOKUP('Données projet'!$B$17,Paramètres!$A$1:$I$89,3,0)*0.475*44/12</f>
        <v>0</v>
      </c>
      <c r="GO64" s="23">
        <f t="shared" si="27"/>
        <v>0</v>
      </c>
      <c r="GP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59.701936517990291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3.974358974358978</v>
      </c>
      <c r="GU64" s="13">
        <f>IF('Données projet'!$A$270&gt;35,GU63+GT64-HC63,IF(A64&lt;'Données projet'!$A$270,$GR$205^A64,IF(A64='Données projet'!$A$270,'Données projet'!$B$270,GU63+GT64-HC63)))</f>
        <v>148.84615384615392</v>
      </c>
      <c r="GV64" s="18">
        <f>GU64*VLOOKUP('Données projet'!$B$18,Paramètres!$A$1:$I$89,3,0)*VLOOKUP('Données projet'!$B$18,Paramètres!$A$1:$I$89,5,0)</f>
        <v>99.846000000000046</v>
      </c>
      <c r="GW64" s="14">
        <f t="shared" si="51"/>
        <v>26.925305881767247</v>
      </c>
      <c r="GX64" s="22">
        <f t="shared" si="28"/>
        <v>220.79335774407801</v>
      </c>
      <c r="GY64" s="62">
        <f t="shared" si="29"/>
        <v>476.36712497670908</v>
      </c>
      <c r="GZ64" s="62">
        <f ca="1">AVERAGE(OFFSET($GY$3,0,0,'Données projet'!$E$18+1,1))-AVERAGE(OFFSET($H$3,0,0,'Données projet'!$E$18+1,1))</f>
        <v>254.35742752782755</v>
      </c>
      <c r="HA64" s="62">
        <f t="shared" si="52"/>
        <v>171.79611712137395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>
        <f>EXP(-LN(2)/35)*HG63+(1-EXP(-LN(2)/35))/(LN(2)/35)*HC64*HD64*VLOOKUP('Données projet'!$B$18,Paramètres!$A$1:$I$89,3,0)*0.475*44/12</f>
        <v>0</v>
      </c>
      <c r="HH64" s="23">
        <f>EXP(-LN(2)/25)*HH63+(1-EXP(-LN(2)/25))/(LN(2)/25)*Calculateur!HC64*Calculateur!HE64*VLOOKUP('Données projet'!$B$18,Paramètres!$A$1:$I$89,3,0)*0.475*44/12</f>
        <v>0</v>
      </c>
      <c r="HI64" s="23">
        <f>EXP(-LN(2)/2)*HI63+(1-EXP(-LN(2)/2))/(LN(2)/2)*HC64*HF64*VLOOKUP('Données projet'!$B$18,Paramètres!$A$1:$I$89,3,0)*0.475*44/12</f>
        <v>0</v>
      </c>
      <c r="HJ64" s="24">
        <f t="shared" si="30"/>
        <v>0</v>
      </c>
    </row>
    <row r="65" spans="1:218" s="5" customFormat="1" x14ac:dyDescent="0.3">
      <c r="A65" s="11">
        <f t="shared" si="31"/>
        <v>62</v>
      </c>
      <c r="B65" s="76">
        <f>'Scénario référence'!$B$16*5+'Scénario référence'!$B$17*0+'Scénario référence'!$B$18*5</f>
        <v>3.9405000000000001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14.448500000000001</v>
      </c>
      <c r="H65" s="69">
        <f t="shared" si="1"/>
        <v>161.30656666666667</v>
      </c>
      <c r="I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59.880584896382317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5.1989010989010991</v>
      </c>
      <c r="N65" s="14">
        <f>IF('Données projet'!$A$36&gt;35,N64+M65-V64,IF(A65&lt;'Données projet'!$A$36,$K$205^A65,IF(A65='Données projet'!$A$36,'Données projet'!$B$36,N64+M65-V64)))</f>
        <v>163.60439560439568</v>
      </c>
      <c r="O65" s="14">
        <f>N65*VLOOKUP('Données projet'!$B$9,Paramètres!$A$1:$I$89,3,0)*VLOOKUP('Données projet'!$B$9,Paramètres!$A$1:$I$89,5,0)</f>
        <v>95.708571428571474</v>
      </c>
      <c r="P65" s="14">
        <f t="shared" si="33"/>
        <v>25.937028646080538</v>
      </c>
      <c r="Q65" s="22">
        <f t="shared" si="53"/>
        <v>211.86608679668555</v>
      </c>
      <c r="R65" s="62">
        <f t="shared" si="0"/>
        <v>468.09489808342073</v>
      </c>
      <c r="S65" s="62">
        <f ca="1">AVERAGE(OFFSET($R$3,0,0,'Données projet'!$E$9+1,1))-AVERAGE(OFFSET($H$3,0,0,'Données projet'!$E$9+1,1))</f>
        <v>210.54472399593521</v>
      </c>
      <c r="T65" s="62">
        <f t="shared" si="34"/>
        <v>181.14158435194193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59.880584896382317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2.7600000000000025</v>
      </c>
      <c r="AI65" s="14">
        <f>IF('Données projet'!$A$62&gt;35,AI64+AH65-AQ64,IF(A65&lt;'Données projet'!$A$62,$AF$205^A65,IF(A65='Données projet'!$A$62,'Données projet'!$B$62,AI64+AH65-AQ64)))</f>
        <v>246.02000000000004</v>
      </c>
      <c r="AJ65" s="14">
        <f>AI65*VLOOKUP('Données projet'!$B$10,Paramètres!$A$1:$I$89,3,0)*VLOOKUP('Données projet'!$B$10,Paramètres!$A$1:$I$89,5,0)</f>
        <v>127.93040000000002</v>
      </c>
      <c r="AK65" s="14">
        <f t="shared" si="35"/>
        <v>33.517689794522084</v>
      </c>
      <c r="AL65" s="22">
        <f t="shared" si="4"/>
        <v>281.18875639212598</v>
      </c>
      <c r="AM65" s="62">
        <f t="shared" si="5"/>
        <v>537.41756767886113</v>
      </c>
      <c r="AN65" s="62">
        <f ca="1">AVERAGE(OFFSET($AM$3,0,0,'Données projet'!$E$10+1,1))-AVERAGE(OFFSET($H$3,0,0,'Données projet'!$E$10+1,1))</f>
        <v>289.05608923588198</v>
      </c>
      <c r="AO65" s="62">
        <f t="shared" si="36"/>
        <v>220.06639020312738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59.880584896382317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1.6750000000000014</v>
      </c>
      <c r="BD65" s="13">
        <f>IF('Données projet'!$A$88&gt;35,BD64+BC65-BL64,IF(A65&lt;'Données projet'!$A$88,$BA$205^A65,IF(A65='Données projet'!$A$88,'Données projet'!$B$88,BD64+BC65-BL64)))</f>
        <v>79.462499999999963</v>
      </c>
      <c r="BE65" s="14">
        <f>BD65*VLOOKUP('Données projet'!$B$11,Paramètres!$A$1:$I$89,3,0)*VLOOKUP('Données projet'!$B$11,Paramètres!$A$1:$I$89,5,0)</f>
        <v>91.540799999999948</v>
      </c>
      <c r="BF65" s="14">
        <f t="shared" si="37"/>
        <v>24.93646092914312</v>
      </c>
      <c r="BG65" s="22">
        <f t="shared" si="7"/>
        <v>202.86456278492415</v>
      </c>
      <c r="BH65" s="62">
        <f t="shared" si="8"/>
        <v>459.0933740716593</v>
      </c>
      <c r="BI65" s="62">
        <f ca="1">AVERAGE(OFFSET($BH$3,0,0,'Données projet'!$E$11+1,1))-AVERAGE(OFFSET($H$3,0,0,'Données projet'!$E$11+1,1))</f>
        <v>299.54950406029354</v>
      </c>
      <c r="BJ65" s="62">
        <f t="shared" si="38"/>
        <v>208.26364698165739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59.880584896382317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3.9743589743589722</v>
      </c>
      <c r="BY65" s="13">
        <f>IF('Données projet'!$A$114&gt;35,BY64+BX65-CG64,IF(A65&lt;'Données projet'!$A$114,$BV$205^A65,IF(A65='Données projet'!$A$114,'Données projet'!$B$114,BY64+BX65-CG64)))</f>
        <v>163.07692307692298</v>
      </c>
      <c r="BZ65" s="14">
        <f>BY65*VLOOKUP('Données projet'!$B$12,Paramètres!$A$1:$I$89,3,0)*VLOOKUP('Données projet'!$B$12,Paramètres!$A$1:$I$89,5,0)</f>
        <v>175.53599999999989</v>
      </c>
      <c r="CA65" s="14">
        <f t="shared" si="39"/>
        <v>44.327581520891087</v>
      </c>
      <c r="CB65" s="22">
        <f t="shared" si="10"/>
        <v>382.92907114888516</v>
      </c>
      <c r="CC65" s="62">
        <f t="shared" si="11"/>
        <v>639.15788243562031</v>
      </c>
      <c r="CD65" s="62">
        <f ca="1">AVERAGE(OFFSET($CC$3,0,0,'Données projet'!$E$12+1,1))-AVERAGE(OFFSET($H$3,0,0,'Données projet'!$E$12+1,1))</f>
        <v>441.30518831297212</v>
      </c>
      <c r="CE65" s="62">
        <f t="shared" si="40"/>
        <v>270.42872405271851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59.880584896382317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3.2</v>
      </c>
      <c r="CT65" s="13">
        <f>IF('Données projet'!$A$140&gt;35,CT64+CS65-DB64,IF(A65&lt;'Données projet'!$A$140,$CQ$205^A65,IF(A65='Données projet'!$A$140,'Données projet'!$B$140,CT64+CS65-DB64)))</f>
        <v>201.39999999999992</v>
      </c>
      <c r="CU65" s="18">
        <f>CT65*VLOOKUP('Données projet'!$B$13,Paramètres!$A$1:$I$89,3,0)*VLOOKUP('Données projet'!$B$13,Paramètres!$A$1:$I$89,5,0)</f>
        <v>175.94303999999994</v>
      </c>
      <c r="CV65" s="14">
        <f t="shared" si="41"/>
        <v>44.418393276556458</v>
      </c>
      <c r="CW65" s="22">
        <f t="shared" si="13"/>
        <v>383.79616295666898</v>
      </c>
      <c r="CX65" s="62">
        <f t="shared" si="14"/>
        <v>640.02497424340413</v>
      </c>
      <c r="CY65" s="62">
        <f ca="1">AVERAGE(OFFSET($CX$3,0,0,'Données projet'!$E$13+1,1))-AVERAGE(OFFSET($H$3,0,0,'Données projet'!$E$13+1,1))</f>
        <v>310.81258463659196</v>
      </c>
      <c r="CZ65" s="62">
        <f t="shared" si="42"/>
        <v>287.31099756692083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59.880584896382317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3.9743589743589722</v>
      </c>
      <c r="DO65" s="13">
        <f>IF('Données projet'!$A$166&gt;35,DO64+DN65-DW64,IF(A65&lt;'Données projet'!$A$166,$DL$205^A65,IF(A65='Données projet'!$A$166,'Données projet'!$B$166,DO64+DN65-DW64)))</f>
        <v>163.07692307692298</v>
      </c>
      <c r="DP65" s="18">
        <f>DO65*VLOOKUP('Données projet'!$B$14,Paramètres!$A$1:$I$89,3,0)*VLOOKUP('Données projet'!$B$14,Paramètres!$A$1:$I$89,5,0)</f>
        <v>170.44799999999992</v>
      </c>
      <c r="DQ65" s="14">
        <f t="shared" si="43"/>
        <v>43.190345308259261</v>
      </c>
      <c r="DR65" s="22">
        <f t="shared" si="16"/>
        <v>372.08678474521804</v>
      </c>
      <c r="DS65" s="62">
        <f t="shared" si="17"/>
        <v>628.31559603195319</v>
      </c>
      <c r="DT65" s="62">
        <f ca="1">AVERAGE(OFFSET($DS$3,0,0,'Données projet'!$E$14+1,1))-AVERAGE(OFFSET($H$3,0,0,'Données projet'!$E$14+1,1))</f>
        <v>431.19274104373625</v>
      </c>
      <c r="DU65" s="62">
        <f t="shared" si="44"/>
        <v>264.67919175178133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59.880584896382317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10.984615384615381</v>
      </c>
      <c r="EJ65" s="13">
        <f>IF('Données projet'!$A$192&gt;35,EJ64+EI65-ER64,IF(A65&lt;'Données projet'!$A$192,$EG$205^A65,IF(A65='Données projet'!$A$192,'Données projet'!$B$192,EJ64+EI65-ER64)))</f>
        <v>339.70769230769213</v>
      </c>
      <c r="EK65" s="18">
        <f>EJ65*VLOOKUP('Données projet'!$B$15,Paramètres!$A$1:$I$89,3,0)*VLOOKUP('Données projet'!$B$15,Paramètres!$A$1:$I$89,5,0)</f>
        <v>158.98319999999993</v>
      </c>
      <c r="EL65" s="14">
        <f t="shared" si="45"/>
        <v>40.613088302497808</v>
      </c>
      <c r="EM65" s="22">
        <f t="shared" si="19"/>
        <v>347.63020212685018</v>
      </c>
      <c r="EN65" s="62">
        <f t="shared" si="20"/>
        <v>603.85901341358533</v>
      </c>
      <c r="EO65" s="62">
        <f ca="1">AVERAGE(OFFSET($EN$3,0,0,'Données projet'!$E$15+1,1))-AVERAGE(OFFSET($H$3,0,0,'Données projet'!$E$15+1,1))</f>
        <v>291.68530745507815</v>
      </c>
      <c r="EP65" s="62">
        <f t="shared" si="46"/>
        <v>175.95121106728979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0</v>
      </c>
      <c r="EZ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59.880584896382317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4.2</v>
      </c>
      <c r="FE65" s="13">
        <f>IF('Données projet'!$A$218&gt;35,FE64+FD65-FM64,IF(A65&lt;'Données projet'!$A$218,$FB$205^A65,IF(A65='Données projet'!$A$218,'Données projet'!$B$218,FE64+FD65-FM64)))</f>
        <v>173.39999999999981</v>
      </c>
      <c r="FF65" s="18">
        <f>FE65*VLOOKUP('Données projet'!$B$16,Paramètres!$A$1:$I$89,3,0)*VLOOKUP('Données projet'!$B$16,Paramètres!$A$1:$I$89,5,0)</f>
        <v>113.61167999999988</v>
      </c>
      <c r="FG65" s="14">
        <f t="shared" si="47"/>
        <v>30.180318013150163</v>
      </c>
      <c r="FH65" s="22">
        <f t="shared" si="22"/>
        <v>250.43772987290299</v>
      </c>
      <c r="FI65" s="62">
        <f t="shared" si="23"/>
        <v>506.66654115963814</v>
      </c>
      <c r="FJ65" s="62">
        <f ca="1">AVERAGE(OFFSET($FI$3,0,0,'Données projet'!$E$16+1,1))-AVERAGE(OFFSET($H$3,0,0,'Données projet'!$E$16+1,1))</f>
        <v>248.75689726928428</v>
      </c>
      <c r="FK65" s="62">
        <f t="shared" si="48"/>
        <v>232.02291680388336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projet'!$B$16,Paramètres!$A$1:$I$89,3,0)*0.475*44/12</f>
        <v>0</v>
      </c>
      <c r="FR65" s="23">
        <f>EXP(-LN(2)/25)*FR64+(1-EXP(-LN(2)/25))/(LN(2)/25)*Calculateur!FM65*Calculateur!FO65*VLOOKUP('Données projet'!$B$16,Paramètres!$A$1:$I$89,3,0)*0.475*44/12</f>
        <v>0</v>
      </c>
      <c r="FS65" s="23">
        <f>EXP(-LN(2)/2)*FS64+(1-EXP(-LN(2)/2))/(LN(2)/2)*FM65*FP65*VLOOKUP('Données projet'!$B$16,Paramètres!$A$1:$I$89,3,0)*0.475*44/12</f>
        <v>0</v>
      </c>
      <c r="FT65" s="24">
        <f t="shared" si="24"/>
        <v>0</v>
      </c>
      <c r="FU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59.880584896382317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12.8</v>
      </c>
      <c r="FZ65" s="13">
        <f>IF('Données projet'!$A$244&gt;35,FZ64+FY65-GH64,IF(A65&lt;'Données projet'!$A$244,$FW$205^A65,IF(A65='Données projet'!$A$244,'Données projet'!$B$244,FZ64+FY65-GH64)))</f>
        <v>273.99999999999994</v>
      </c>
      <c r="GA65" s="18">
        <f>FZ65*VLOOKUP('Données projet'!$B$17,Paramètres!$A$1:$I$89,3,0)*VLOOKUP('Données projet'!$B$17,Paramètres!$A$1:$I$89,5,0)</f>
        <v>163.85199999999998</v>
      </c>
      <c r="GB65" s="14">
        <f t="shared" si="49"/>
        <v>41.710138155336118</v>
      </c>
      <c r="GC65" s="22">
        <f t="shared" si="25"/>
        <v>358.020723953877</v>
      </c>
      <c r="GD65" s="62">
        <f t="shared" si="26"/>
        <v>614.2495352406122</v>
      </c>
      <c r="GE65" s="62">
        <f ca="1">AVERAGE(OFFSET($GD$3,0,0,'Données projet'!$E$17+1,1))-AVERAGE(OFFSET($H$3,0,0,'Données projet'!$E$17+1,1))</f>
        <v>315.909549580511</v>
      </c>
      <c r="GF65" s="62">
        <f t="shared" si="50"/>
        <v>208.56856525402051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projet'!$B$17,Paramètres!$A$1:$I$89,3,0)*0.475*44/12</f>
        <v>0</v>
      </c>
      <c r="GM65" s="23">
        <f>EXP(-LN(2)/25)*GM64+(1-EXP(-LN(2)/25))/(LN(2)/25)*Calculateur!GH65*Calculateur!GJ65*VLOOKUP('Données projet'!$B$17,Paramètres!$A$1:$I$89,3,0)*0.475*44/12</f>
        <v>0</v>
      </c>
      <c r="GN65" s="23">
        <f>EXP(-LN(2)/2)*GN64+(1-EXP(-LN(2)/2))/(LN(2)/2)*GH65*GK65*VLOOKUP('Données projet'!$B$17,Paramètres!$A$1:$I$89,3,0)*0.475*44/12</f>
        <v>0</v>
      </c>
      <c r="GO65" s="23">
        <f t="shared" si="27"/>
        <v>0</v>
      </c>
      <c r="GP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59.880584896382317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3.974358974358978</v>
      </c>
      <c r="GU65" s="13">
        <f>IF('Données projet'!$A$270&gt;35,GU64+GT65-HC64,IF(A65&lt;'Données projet'!$A$270,$GR$205^A65,IF(A65='Données projet'!$A$270,'Données projet'!$B$270,GU64+GT65-HC64)))</f>
        <v>152.8205128205129</v>
      </c>
      <c r="GV65" s="18">
        <f>GU65*VLOOKUP('Données projet'!$B$18,Paramètres!$A$1:$I$89,3,0)*VLOOKUP('Données projet'!$B$18,Paramètres!$A$1:$I$89,5,0)</f>
        <v>102.51200000000004</v>
      </c>
      <c r="GW65" s="14">
        <f t="shared" si="51"/>
        <v>27.559580057072086</v>
      </c>
      <c r="GX65" s="22">
        <f t="shared" si="28"/>
        <v>226.54133526606731</v>
      </c>
      <c r="GY65" s="62">
        <f t="shared" si="29"/>
        <v>482.77014655280243</v>
      </c>
      <c r="GZ65" s="62">
        <f ca="1">AVERAGE(OFFSET($GY$3,0,0,'Données projet'!$E$18+1,1))-AVERAGE(OFFSET($H$3,0,0,'Données projet'!$E$18+1,1))</f>
        <v>254.35742752782755</v>
      </c>
      <c r="HA65" s="62">
        <f t="shared" si="52"/>
        <v>171.79611712137395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>
        <f>EXP(-LN(2)/35)*HG64+(1-EXP(-LN(2)/35))/(LN(2)/35)*HC65*HD65*VLOOKUP('Données projet'!$B$18,Paramètres!$A$1:$I$89,3,0)*0.475*44/12</f>
        <v>0</v>
      </c>
      <c r="HH65" s="23">
        <f>EXP(-LN(2)/25)*HH64+(1-EXP(-LN(2)/25))/(LN(2)/25)*Calculateur!HC65*Calculateur!HE65*VLOOKUP('Données projet'!$B$18,Paramètres!$A$1:$I$89,3,0)*0.475*44/12</f>
        <v>0</v>
      </c>
      <c r="HI65" s="23">
        <f>EXP(-LN(2)/2)*HI64+(1-EXP(-LN(2)/2))/(LN(2)/2)*HC65*HF65*VLOOKUP('Données projet'!$B$18,Paramètres!$A$1:$I$89,3,0)*0.475*44/12</f>
        <v>0</v>
      </c>
      <c r="HJ65" s="24">
        <f t="shared" si="30"/>
        <v>0</v>
      </c>
    </row>
    <row r="66" spans="1:218" s="5" customFormat="1" x14ac:dyDescent="0.3">
      <c r="A66" s="11">
        <f t="shared" si="31"/>
        <v>63</v>
      </c>
      <c r="B66" s="76">
        <f>'Scénario référence'!$B$16*5+'Scénario référence'!$B$17*0+'Scénario référence'!$B$18*5</f>
        <v>3.9405000000000001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14.448500000000001</v>
      </c>
      <c r="H66" s="69">
        <f t="shared" si="1"/>
        <v>161.30656666666667</v>
      </c>
      <c r="I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60.056134124807173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5.1989010989010991</v>
      </c>
      <c r="N66" s="14">
        <f>IF('Données projet'!$A$36&gt;35,N65+M66-V65,IF(A66&lt;'Données projet'!$A$36,$K$205^A66,IF(A66='Données projet'!$A$36,'Données projet'!$B$36,N65+M66-V65)))</f>
        <v>168.80329670329678</v>
      </c>
      <c r="O66" s="14">
        <f>N66*VLOOKUP('Données projet'!$B$9,Paramètres!$A$1:$I$89,3,0)*VLOOKUP('Données projet'!$B$9,Paramètres!$A$1:$I$89,5,0)</f>
        <v>98.749928571428626</v>
      </c>
      <c r="P66" s="14">
        <f t="shared" si="33"/>
        <v>26.663967583086244</v>
      </c>
      <c r="Q66" s="22">
        <f t="shared" si="53"/>
        <v>218.42920246911339</v>
      </c>
      <c r="R66" s="62">
        <f t="shared" si="0"/>
        <v>475.30169426007296</v>
      </c>
      <c r="S66" s="62">
        <f ca="1">AVERAGE(OFFSET($R$3,0,0,'Données projet'!$E$9+1,1))-AVERAGE(OFFSET($H$3,0,0,'Données projet'!$E$9+1,1))</f>
        <v>210.54472399593521</v>
      </c>
      <c r="T66" s="62">
        <f t="shared" si="34"/>
        <v>181.14158435194193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60.056134124807173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2.7600000000000025</v>
      </c>
      <c r="AI66" s="14">
        <f>IF('Données projet'!$A$62&gt;35,AI65+AH66-AQ65,IF(A66&lt;'Données projet'!$A$62,$AF$205^A66,IF(A66='Données projet'!$A$62,'Données projet'!$B$62,AI65+AH66-AQ65)))</f>
        <v>248.78000000000003</v>
      </c>
      <c r="AJ66" s="14">
        <f>AI66*VLOOKUP('Données projet'!$B$10,Paramètres!$A$1:$I$89,3,0)*VLOOKUP('Données projet'!$B$10,Paramètres!$A$1:$I$89,5,0)</f>
        <v>129.36560000000003</v>
      </c>
      <c r="AK66" s="14">
        <f t="shared" si="35"/>
        <v>33.849726408738029</v>
      </c>
      <c r="AL66" s="22">
        <f t="shared" si="4"/>
        <v>284.26669349521876</v>
      </c>
      <c r="AM66" s="62">
        <f t="shared" si="5"/>
        <v>541.13918528617842</v>
      </c>
      <c r="AN66" s="62">
        <f ca="1">AVERAGE(OFFSET($AM$3,0,0,'Données projet'!$E$10+1,1))-AVERAGE(OFFSET($H$3,0,0,'Données projet'!$E$10+1,1))</f>
        <v>289.05608923588198</v>
      </c>
      <c r="AO66" s="62">
        <f t="shared" si="36"/>
        <v>220.06639020312738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60.056134124807173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1.6750000000000014</v>
      </c>
      <c r="BD66" s="13">
        <f>IF('Données projet'!$A$88&gt;35,BD65+BC66-BL65,IF(A66&lt;'Données projet'!$A$88,$BA$205^A66,IF(A66='Données projet'!$A$88,'Données projet'!$B$88,BD65+BC66-BL65)))</f>
        <v>81.13749999999996</v>
      </c>
      <c r="BE66" s="14">
        <f>BD66*VLOOKUP('Données projet'!$B$11,Paramètres!$A$1:$I$89,3,0)*VLOOKUP('Données projet'!$B$11,Paramètres!$A$1:$I$89,5,0)</f>
        <v>93.470399999999941</v>
      </c>
      <c r="BF66" s="14">
        <f t="shared" si="37"/>
        <v>25.400349986061777</v>
      </c>
      <c r="BG66" s="22">
        <f t="shared" si="7"/>
        <v>207.03322289239085</v>
      </c>
      <c r="BH66" s="62">
        <f t="shared" si="8"/>
        <v>463.90571468335042</v>
      </c>
      <c r="BI66" s="62">
        <f ca="1">AVERAGE(OFFSET($BH$3,0,0,'Données projet'!$E$11+1,1))-AVERAGE(OFFSET($H$3,0,0,'Données projet'!$E$11+1,1))</f>
        <v>299.54950406029354</v>
      </c>
      <c r="BJ66" s="62">
        <f t="shared" si="38"/>
        <v>208.26364698165739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60.056134124807173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3.9743589743589722</v>
      </c>
      <c r="BY66" s="13">
        <f>IF('Données projet'!$A$114&gt;35,BY65+BX66-CG65,IF(A66&lt;'Données projet'!$A$114,$BV$205^A66,IF(A66='Données projet'!$A$114,'Données projet'!$B$114,BY65+BX66-CG65)))</f>
        <v>167.05128205128196</v>
      </c>
      <c r="BZ66" s="14">
        <f>BY66*VLOOKUP('Données projet'!$B$12,Paramètres!$A$1:$I$89,3,0)*VLOOKUP('Données projet'!$B$12,Paramètres!$A$1:$I$89,5,0)</f>
        <v>179.81399999999991</v>
      </c>
      <c r="CA66" s="14">
        <f t="shared" si="39"/>
        <v>45.280802103765367</v>
      </c>
      <c r="CB66" s="22">
        <f t="shared" si="10"/>
        <v>392.04011366405786</v>
      </c>
      <c r="CC66" s="62">
        <f t="shared" si="11"/>
        <v>648.91260545501746</v>
      </c>
      <c r="CD66" s="62">
        <f ca="1">AVERAGE(OFFSET($CC$3,0,0,'Données projet'!$E$12+1,1))-AVERAGE(OFFSET($H$3,0,0,'Données projet'!$E$12+1,1))</f>
        <v>441.30518831297212</v>
      </c>
      <c r="CE66" s="62">
        <f t="shared" si="40"/>
        <v>270.42872405271851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60.056134124807173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3.2</v>
      </c>
      <c r="CT66" s="13">
        <f>IF('Données projet'!$A$140&gt;35,CT65+CS66-DB65,IF(A66&lt;'Données projet'!$A$140,$CQ$205^A66,IF(A66='Données projet'!$A$140,'Données projet'!$B$140,CT65+CS66-DB65)))</f>
        <v>204.59999999999991</v>
      </c>
      <c r="CU66" s="18">
        <f>CT66*VLOOKUP('Données projet'!$B$13,Paramètres!$A$1:$I$89,3,0)*VLOOKUP('Données projet'!$B$13,Paramètres!$A$1:$I$89,5,0)</f>
        <v>178.73855999999995</v>
      </c>
      <c r="CV66" s="14">
        <f t="shared" si="41"/>
        <v>45.041424241265332</v>
      </c>
      <c r="CW66" s="22">
        <f t="shared" si="13"/>
        <v>389.75013922020366</v>
      </c>
      <c r="CX66" s="62">
        <f t="shared" si="14"/>
        <v>646.62263101116332</v>
      </c>
      <c r="CY66" s="62">
        <f ca="1">AVERAGE(OFFSET($CX$3,0,0,'Données projet'!$E$13+1,1))-AVERAGE(OFFSET($H$3,0,0,'Données projet'!$E$13+1,1))</f>
        <v>310.81258463659196</v>
      </c>
      <c r="CZ66" s="62">
        <f t="shared" si="42"/>
        <v>287.31099756692083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60.056134124807173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3.9743589743589722</v>
      </c>
      <c r="DO66" s="13">
        <f>IF('Données projet'!$A$166&gt;35,DO65+DN66-DW65,IF(A66&lt;'Données projet'!$A$166,$DL$205^A66,IF(A66='Données projet'!$A$166,'Données projet'!$B$166,DO65+DN66-DW65)))</f>
        <v>167.05128205128196</v>
      </c>
      <c r="DP66" s="18">
        <f>DO66*VLOOKUP('Données projet'!$B$14,Paramètres!$A$1:$I$89,3,0)*VLOOKUP('Données projet'!$B$14,Paramètres!$A$1:$I$89,5,0)</f>
        <v>174.60199999999992</v>
      </c>
      <c r="DQ66" s="14">
        <f t="shared" si="43"/>
        <v>44.119110756694013</v>
      </c>
      <c r="DR66" s="22">
        <f t="shared" si="16"/>
        <v>380.93926790124192</v>
      </c>
      <c r="DS66" s="62">
        <f t="shared" si="17"/>
        <v>637.81175969220158</v>
      </c>
      <c r="DT66" s="62">
        <f ca="1">AVERAGE(OFFSET($DS$3,0,0,'Données projet'!$E$14+1,1))-AVERAGE(OFFSET($H$3,0,0,'Données projet'!$E$14+1,1))</f>
        <v>431.19274104373625</v>
      </c>
      <c r="DU66" s="62">
        <f t="shared" si="44"/>
        <v>264.67919175178133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60.056134124807173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>
        <f>VLOOKUP(A66,'Données projet'!$A$191:$I$211,2,0)</f>
        <v>350.69230769230768</v>
      </c>
      <c r="EH66" s="13">
        <f>VLOOKUP(A66,'Données projet'!$A$191:$I$211,9,0)</f>
        <v>10.984615384615381</v>
      </c>
      <c r="EI66" s="13">
        <f t="array" ref="EI66">INDEX(EH:EH,MIN(IF(ISNUMBER(EH66:EH262),ROW(EH66:EH262),"")))</f>
        <v>10.984615384615381</v>
      </c>
      <c r="EJ66" s="13">
        <f>IF('Données projet'!$A$192&gt;35,EJ65+EI66-ER65,IF(A66&lt;'Données projet'!$A$192,$EG$205^A66,IF(A66='Données projet'!$A$192,'Données projet'!$B$192,EJ65+EI66-ER65)))</f>
        <v>350.69230769230751</v>
      </c>
      <c r="EK66" s="18">
        <f>EJ66*VLOOKUP('Données projet'!$B$15,Paramètres!$A$1:$I$89,3,0)*VLOOKUP('Données projet'!$B$15,Paramètres!$A$1:$I$89,5,0)</f>
        <v>164.12399999999991</v>
      </c>
      <c r="EL66" s="14">
        <f t="shared" si="45"/>
        <v>41.771312955270531</v>
      </c>
      <c r="EM66" s="22">
        <f t="shared" si="19"/>
        <v>358.60100339709601</v>
      </c>
      <c r="EN66" s="62">
        <f t="shared" si="20"/>
        <v>615.47349518805561</v>
      </c>
      <c r="EO66" s="62">
        <f ca="1">AVERAGE(OFFSET($EN$3,0,0,'Données projet'!$E$15+1,1))-AVERAGE(OFFSET($H$3,0,0,'Données projet'!$E$15+1,1))</f>
        <v>291.68530745507815</v>
      </c>
      <c r="EP66" s="62">
        <f t="shared" si="46"/>
        <v>175.95121106728979</v>
      </c>
      <c r="EQ66" s="16">
        <f>IF(ISNA(VLOOKUP(A66,'Données projet'!$A$191:$I$211,3,0)),0,VLOOKUP(A66,'Données projet'!$A$191:$I$211,3,0))</f>
        <v>2</v>
      </c>
      <c r="ER66" s="16">
        <f>IF(ISNA(VLOOKUP(A66,'Données projet'!$A$191:$I$211,4,0)),0,VLOOKUP(A66,'Données projet'!$A$191:$I$211,4,0))</f>
        <v>108.08461538461538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0</v>
      </c>
      <c r="EZ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60.056134124807173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4.2</v>
      </c>
      <c r="FE66" s="13">
        <f>IF('Données projet'!$A$218&gt;35,FE65+FD66-FM65,IF(A66&lt;'Données projet'!$A$218,$FB$205^A66,IF(A66='Données projet'!$A$218,'Données projet'!$B$218,FE65+FD66-FM65)))</f>
        <v>177.5999999999998</v>
      </c>
      <c r="FF66" s="18">
        <f>FE66*VLOOKUP('Données projet'!$B$16,Paramètres!$A$1:$I$89,3,0)*VLOOKUP('Données projet'!$B$16,Paramètres!$A$1:$I$89,5,0)</f>
        <v>116.36351999999987</v>
      </c>
      <c r="FG66" s="14">
        <f t="shared" si="47"/>
        <v>30.825337032325706</v>
      </c>
      <c r="FH66" s="22">
        <f t="shared" si="22"/>
        <v>256.35392599796705</v>
      </c>
      <c r="FI66" s="62">
        <f t="shared" si="23"/>
        <v>513.22641778892671</v>
      </c>
      <c r="FJ66" s="62">
        <f ca="1">AVERAGE(OFFSET($FI$3,0,0,'Données projet'!$E$16+1,1))-AVERAGE(OFFSET($H$3,0,0,'Données projet'!$E$16+1,1))</f>
        <v>248.75689726928428</v>
      </c>
      <c r="FK66" s="62">
        <f t="shared" si="48"/>
        <v>232.02291680388336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projet'!$B$16,Paramètres!$A$1:$I$89,3,0)*0.475*44/12</f>
        <v>0</v>
      </c>
      <c r="FR66" s="23">
        <f>EXP(-LN(2)/25)*FR65+(1-EXP(-LN(2)/25))/(LN(2)/25)*Calculateur!FM66*Calculateur!FO66*VLOOKUP('Données projet'!$B$16,Paramètres!$A$1:$I$89,3,0)*0.475*44/12</f>
        <v>0</v>
      </c>
      <c r="FS66" s="23">
        <f>EXP(-LN(2)/2)*FS65+(1-EXP(-LN(2)/2))/(LN(2)/2)*FM66*FP66*VLOOKUP('Données projet'!$B$16,Paramètres!$A$1:$I$89,3,0)*0.475*44/12</f>
        <v>0</v>
      </c>
      <c r="FT66" s="24">
        <f t="shared" si="24"/>
        <v>0</v>
      </c>
      <c r="FU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60.056134124807173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12.8</v>
      </c>
      <c r="FZ66" s="13">
        <f>IF('Données projet'!$A$244&gt;35,FZ65+FY66-GH65,IF(A66&lt;'Données projet'!$A$244,$FW$205^A66,IF(A66='Données projet'!$A$244,'Données projet'!$B$244,FZ65+FY66-GH65)))</f>
        <v>286.79999999999995</v>
      </c>
      <c r="GA66" s="18">
        <f>FZ66*VLOOKUP('Données projet'!$B$17,Paramètres!$A$1:$I$89,3,0)*VLOOKUP('Données projet'!$B$17,Paramètres!$A$1:$I$89,5,0)</f>
        <v>171.50640000000001</v>
      </c>
      <c r="GB66" s="14">
        <f t="shared" si="49"/>
        <v>43.427233649451665</v>
      </c>
      <c r="GC66" s="22">
        <f t="shared" si="25"/>
        <v>374.34274527279496</v>
      </c>
      <c r="GD66" s="62">
        <f t="shared" si="26"/>
        <v>631.21523706375456</v>
      </c>
      <c r="GE66" s="62">
        <f ca="1">AVERAGE(OFFSET($GD$3,0,0,'Données projet'!$E$17+1,1))-AVERAGE(OFFSET($H$3,0,0,'Données projet'!$E$17+1,1))</f>
        <v>315.909549580511</v>
      </c>
      <c r="GF66" s="62">
        <f t="shared" si="50"/>
        <v>208.56856525402051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projet'!$B$17,Paramètres!$A$1:$I$89,3,0)*0.475*44/12</f>
        <v>0</v>
      </c>
      <c r="GM66" s="23">
        <f>EXP(-LN(2)/25)*GM65+(1-EXP(-LN(2)/25))/(LN(2)/25)*Calculateur!GH66*Calculateur!GJ66*VLOOKUP('Données projet'!$B$17,Paramètres!$A$1:$I$89,3,0)*0.475*44/12</f>
        <v>0</v>
      </c>
      <c r="GN66" s="23">
        <f>EXP(-LN(2)/2)*GN65+(1-EXP(-LN(2)/2))/(LN(2)/2)*GH66*GK66*VLOOKUP('Données projet'!$B$17,Paramètres!$A$1:$I$89,3,0)*0.475*44/12</f>
        <v>0</v>
      </c>
      <c r="GO66" s="23">
        <f t="shared" si="27"/>
        <v>0</v>
      </c>
      <c r="GP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60.056134124807173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3.974358974358978</v>
      </c>
      <c r="GU66" s="13">
        <f>IF('Données projet'!$A$270&gt;35,GU65+GT66-HC65,IF(A66&lt;'Données projet'!$A$270,$GR$205^A66,IF(A66='Données projet'!$A$270,'Données projet'!$B$270,GU65+GT66-HC65)))</f>
        <v>156.79487179487188</v>
      </c>
      <c r="GV66" s="18">
        <f>GU66*VLOOKUP('Données projet'!$B$18,Paramètres!$A$1:$I$89,3,0)*VLOOKUP('Données projet'!$B$18,Paramètres!$A$1:$I$89,5,0)</f>
        <v>105.17800000000005</v>
      </c>
      <c r="GW66" s="14">
        <f t="shared" si="51"/>
        <v>28.191936844363621</v>
      </c>
      <c r="GX66" s="22">
        <f t="shared" si="28"/>
        <v>232.28597333726671</v>
      </c>
      <c r="GY66" s="62">
        <f t="shared" si="29"/>
        <v>489.15846512822634</v>
      </c>
      <c r="GZ66" s="62">
        <f ca="1">AVERAGE(OFFSET($GY$3,0,0,'Données projet'!$E$18+1,1))-AVERAGE(OFFSET($H$3,0,0,'Données projet'!$E$18+1,1))</f>
        <v>254.35742752782755</v>
      </c>
      <c r="HA66" s="62">
        <f t="shared" si="52"/>
        <v>171.79611712137395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>
        <f>EXP(-LN(2)/35)*HG65+(1-EXP(-LN(2)/35))/(LN(2)/35)*HC66*HD66*VLOOKUP('Données projet'!$B$18,Paramètres!$A$1:$I$89,3,0)*0.475*44/12</f>
        <v>0</v>
      </c>
      <c r="HH66" s="23">
        <f>EXP(-LN(2)/25)*HH65+(1-EXP(-LN(2)/25))/(LN(2)/25)*Calculateur!HC66*Calculateur!HE66*VLOOKUP('Données projet'!$B$18,Paramètres!$A$1:$I$89,3,0)*0.475*44/12</f>
        <v>0</v>
      </c>
      <c r="HI66" s="23">
        <f>EXP(-LN(2)/2)*HI65+(1-EXP(-LN(2)/2))/(LN(2)/2)*HC66*HF66*VLOOKUP('Données projet'!$B$18,Paramètres!$A$1:$I$89,3,0)*0.475*44/12</f>
        <v>0</v>
      </c>
      <c r="HJ66" s="24">
        <f t="shared" si="30"/>
        <v>0</v>
      </c>
    </row>
    <row r="67" spans="1:218" s="5" customFormat="1" x14ac:dyDescent="0.3">
      <c r="A67" s="11">
        <f t="shared" si="31"/>
        <v>64</v>
      </c>
      <c r="B67" s="76">
        <f>'Scénario référence'!$B$16*5+'Scénario référence'!$B$17*0+'Scénario référence'!$B$18*5</f>
        <v>3.9405000000000001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14.448500000000001</v>
      </c>
      <c r="H67" s="69">
        <f t="shared" si="1"/>
        <v>161.30656666666667</v>
      </c>
      <c r="I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60.228637966588138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5.1989010989010991</v>
      </c>
      <c r="N67" s="14">
        <f>IF('Données projet'!$A$36&gt;35,N66+M67-V66,IF(A67&lt;'Données projet'!$A$36,$K$205^A67,IF(A67='Données projet'!$A$36,'Données projet'!$B$36,N66+M67-V66)))</f>
        <v>174.00219780219788</v>
      </c>
      <c r="O67" s="14">
        <f>N67*VLOOKUP('Données projet'!$B$9,Paramètres!$A$1:$I$89,3,0)*VLOOKUP('Données projet'!$B$9,Paramètres!$A$1:$I$89,5,0)</f>
        <v>101.79128571428578</v>
      </c>
      <c r="P67" s="14">
        <f t="shared" si="33"/>
        <v>27.388304708404629</v>
      </c>
      <c r="Q67" s="22">
        <f t="shared" ref="Q67:Q98" si="54">(O67+P67)*0.475*44/12</f>
        <v>224.98778665285246</v>
      </c>
      <c r="R67" s="62">
        <f t="shared" ref="R67:R130" si="55">Q67+(I67+J67)*44/12</f>
        <v>482.49279253034229</v>
      </c>
      <c r="S67" s="62">
        <f ca="1">AVERAGE(OFFSET($R$3,0,0,'Données projet'!$E$9+1,1))-AVERAGE(OFFSET($H$3,0,0,'Données projet'!$E$9+1,1))</f>
        <v>210.54472399593521</v>
      </c>
      <c r="T67" s="62">
        <f t="shared" si="34"/>
        <v>181.14158435194193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60.228637966588138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2.7600000000000025</v>
      </c>
      <c r="AI67" s="14">
        <f>IF('Données projet'!$A$62&gt;35,AI66+AH67-AQ66,IF(A67&lt;'Données projet'!$A$62,$AF$205^A67,IF(A67='Données projet'!$A$62,'Données projet'!$B$62,AI66+AH67-AQ66)))</f>
        <v>251.54000000000002</v>
      </c>
      <c r="AJ67" s="14">
        <f>AI67*VLOOKUP('Données projet'!$B$10,Paramètres!$A$1:$I$89,3,0)*VLOOKUP('Données projet'!$B$10,Paramètres!$A$1:$I$89,5,0)</f>
        <v>130.80080000000001</v>
      </c>
      <c r="AK67" s="14">
        <f t="shared" si="35"/>
        <v>34.181334512311381</v>
      </c>
      <c r="AL67" s="22">
        <f t="shared" si="4"/>
        <v>287.34388427560901</v>
      </c>
      <c r="AM67" s="62">
        <f t="shared" si="5"/>
        <v>544.84889015309886</v>
      </c>
      <c r="AN67" s="62">
        <f ca="1">AVERAGE(OFFSET($AM$3,0,0,'Données projet'!$E$10+1,1))-AVERAGE(OFFSET($H$3,0,0,'Données projet'!$E$10+1,1))</f>
        <v>289.05608923588198</v>
      </c>
      <c r="AO67" s="62">
        <f t="shared" si="36"/>
        <v>220.06639020312738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60.228637966588138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1.6750000000000014</v>
      </c>
      <c r="BD67" s="13">
        <f>IF('Données projet'!$A$88&gt;35,BD66+BC67-BL66,IF(A67&lt;'Données projet'!$A$88,$BA$205^A67,IF(A67='Données projet'!$A$88,'Données projet'!$B$88,BD66+BC67-BL66)))</f>
        <v>82.812499999999957</v>
      </c>
      <c r="BE67" s="14">
        <f>BD67*VLOOKUP('Données projet'!$B$11,Paramètres!$A$1:$I$89,3,0)*VLOOKUP('Données projet'!$B$11,Paramètres!$A$1:$I$89,5,0)</f>
        <v>95.399999999999949</v>
      </c>
      <c r="BF67" s="14">
        <f t="shared" si="37"/>
        <v>25.863125591712326</v>
      </c>
      <c r="BG67" s="22">
        <f t="shared" si="7"/>
        <v>211.1999437388989</v>
      </c>
      <c r="BH67" s="62">
        <f t="shared" si="8"/>
        <v>468.70494961638872</v>
      </c>
      <c r="BI67" s="62">
        <f ca="1">AVERAGE(OFFSET($BH$3,0,0,'Données projet'!$E$11+1,1))-AVERAGE(OFFSET($H$3,0,0,'Données projet'!$E$11+1,1))</f>
        <v>299.54950406029354</v>
      </c>
      <c r="BJ67" s="62">
        <f t="shared" si="38"/>
        <v>208.26364698165739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60.228637966588138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3.9743589743589722</v>
      </c>
      <c r="BY67" s="13">
        <f>IF('Données projet'!$A$114&gt;35,BY66+BX67-CG66,IF(A67&lt;'Données projet'!$A$114,$BV$205^A67,IF(A67='Données projet'!$A$114,'Données projet'!$B$114,BY66+BX67-CG66)))</f>
        <v>171.02564102564094</v>
      </c>
      <c r="BZ67" s="14">
        <f>BY67*VLOOKUP('Données projet'!$B$12,Paramètres!$A$1:$I$89,3,0)*VLOOKUP('Données projet'!$B$12,Paramètres!$A$1:$I$89,5,0)</f>
        <v>184.0919999999999</v>
      </c>
      <c r="CA67" s="14">
        <f t="shared" si="39"/>
        <v>46.231386320256519</v>
      </c>
      <c r="CB67" s="22">
        <f t="shared" si="10"/>
        <v>401.14656450777994</v>
      </c>
      <c r="CC67" s="62">
        <f t="shared" si="11"/>
        <v>658.65157038526979</v>
      </c>
      <c r="CD67" s="62">
        <f ca="1">AVERAGE(OFFSET($CC$3,0,0,'Données projet'!$E$12+1,1))-AVERAGE(OFFSET($H$3,0,0,'Données projet'!$E$12+1,1))</f>
        <v>441.30518831297212</v>
      </c>
      <c r="CE67" s="62">
        <f t="shared" si="40"/>
        <v>270.42872405271851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60.228637966588138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3.2</v>
      </c>
      <c r="CT67" s="13">
        <f>IF('Données projet'!$A$140&gt;35,CT66+CS67-DB66,IF(A67&lt;'Données projet'!$A$140,$CQ$205^A67,IF(A67='Données projet'!$A$140,'Données projet'!$B$140,CT66+CS67-DB66)))</f>
        <v>207.7999999999999</v>
      </c>
      <c r="CU67" s="18">
        <f>CT67*VLOOKUP('Données projet'!$B$13,Paramètres!$A$1:$I$89,3,0)*VLOOKUP('Données projet'!$B$13,Paramètres!$A$1:$I$89,5,0)</f>
        <v>181.53407999999993</v>
      </c>
      <c r="CV67" s="14">
        <f t="shared" si="41"/>
        <v>45.663321943731859</v>
      </c>
      <c r="CW67" s="22">
        <f t="shared" si="13"/>
        <v>395.70214171866616</v>
      </c>
      <c r="CX67" s="62">
        <f t="shared" si="14"/>
        <v>653.20714759615601</v>
      </c>
      <c r="CY67" s="62">
        <f ca="1">AVERAGE(OFFSET($CX$3,0,0,'Données projet'!$E$13+1,1))-AVERAGE(OFFSET($H$3,0,0,'Données projet'!$E$13+1,1))</f>
        <v>310.81258463659196</v>
      </c>
      <c r="CZ67" s="62">
        <f t="shared" si="42"/>
        <v>287.31099756692083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60.228637966588138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3.9743589743589722</v>
      </c>
      <c r="DO67" s="13">
        <f>IF('Données projet'!$A$166&gt;35,DO66+DN67-DW66,IF(A67&lt;'Données projet'!$A$166,$DL$205^A67,IF(A67='Données projet'!$A$166,'Données projet'!$B$166,DO66+DN67-DW66)))</f>
        <v>171.02564102564094</v>
      </c>
      <c r="DP67" s="18">
        <f>DO67*VLOOKUP('Données projet'!$B$14,Paramètres!$A$1:$I$89,3,0)*VLOOKUP('Données projet'!$B$14,Paramètres!$A$1:$I$89,5,0)</f>
        <v>178.75599999999994</v>
      </c>
      <c r="DQ67" s="14">
        <f t="shared" si="43"/>
        <v>45.045307475445441</v>
      </c>
      <c r="DR67" s="22">
        <f t="shared" si="16"/>
        <v>389.78727718640067</v>
      </c>
      <c r="DS67" s="62">
        <f t="shared" si="17"/>
        <v>647.29228306389052</v>
      </c>
      <c r="DT67" s="62">
        <f ca="1">AVERAGE(OFFSET($DS$3,0,0,'Données projet'!$E$14+1,1))-AVERAGE(OFFSET($H$3,0,0,'Données projet'!$E$14+1,1))</f>
        <v>431.19274104373625</v>
      </c>
      <c r="DU67" s="62">
        <f t="shared" si="44"/>
        <v>264.67919175178133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60.228637966588138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9.6897435897435908</v>
      </c>
      <c r="EJ67" s="13">
        <f>IF('Données projet'!$A$192&gt;35,EJ66+EI67-ER66,IF(A67&lt;'Données projet'!$A$192,$EG$205^A67,IF(A67='Données projet'!$A$192,'Données projet'!$B$192,EJ66+EI67-ER66)))</f>
        <v>252.29743589743575</v>
      </c>
      <c r="EK67" s="18">
        <f>EJ67*VLOOKUP('Données projet'!$B$15,Paramètres!$A$1:$I$89,3,0)*VLOOKUP('Données projet'!$B$15,Paramètres!$A$1:$I$89,5,0)</f>
        <v>118.07519999999992</v>
      </c>
      <c r="EL67" s="14">
        <f t="shared" si="45"/>
        <v>31.225649693095828</v>
      </c>
      <c r="EM67" s="22">
        <f t="shared" si="19"/>
        <v>260.03231321547509</v>
      </c>
      <c r="EN67" s="62">
        <f t="shared" si="20"/>
        <v>517.53731909296494</v>
      </c>
      <c r="EO67" s="62">
        <f ca="1">AVERAGE(OFFSET($EN$3,0,0,'Données projet'!$E$15+1,1))-AVERAGE(OFFSET($H$3,0,0,'Données projet'!$E$15+1,1))</f>
        <v>291.68530745507815</v>
      </c>
      <c r="EP67" s="62">
        <f t="shared" si="46"/>
        <v>175.95121106728979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0</v>
      </c>
      <c r="EZ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60.228637966588138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4.2</v>
      </c>
      <c r="FE67" s="13">
        <f>IF('Données projet'!$A$218&gt;35,FE66+FD67-FM66,IF(A67&lt;'Données projet'!$A$218,$FB$205^A67,IF(A67='Données projet'!$A$218,'Données projet'!$B$218,FE66+FD67-FM66)))</f>
        <v>181.79999999999978</v>
      </c>
      <c r="FF67" s="18">
        <f>FE67*VLOOKUP('Données projet'!$B$16,Paramètres!$A$1:$I$89,3,0)*VLOOKUP('Données projet'!$B$16,Paramètres!$A$1:$I$89,5,0)</f>
        <v>119.11535999999987</v>
      </c>
      <c r="FG67" s="14">
        <f t="shared" si="47"/>
        <v>31.468582772748036</v>
      </c>
      <c r="FH67" s="22">
        <f t="shared" si="22"/>
        <v>262.26703366253588</v>
      </c>
      <c r="FI67" s="62">
        <f t="shared" si="23"/>
        <v>519.77203954002573</v>
      </c>
      <c r="FJ67" s="62">
        <f ca="1">AVERAGE(OFFSET($FI$3,0,0,'Données projet'!$E$16+1,1))-AVERAGE(OFFSET($H$3,0,0,'Données projet'!$E$16+1,1))</f>
        <v>248.75689726928428</v>
      </c>
      <c r="FK67" s="62">
        <f t="shared" si="48"/>
        <v>232.02291680388336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projet'!$B$16,Paramètres!$A$1:$I$89,3,0)*0.475*44/12</f>
        <v>0</v>
      </c>
      <c r="FR67" s="23">
        <f>EXP(-LN(2)/25)*FR66+(1-EXP(-LN(2)/25))/(LN(2)/25)*Calculateur!FM67*Calculateur!FO67*VLOOKUP('Données projet'!$B$16,Paramètres!$A$1:$I$89,3,0)*0.475*44/12</f>
        <v>0</v>
      </c>
      <c r="FS67" s="23">
        <f>EXP(-LN(2)/2)*FS66+(1-EXP(-LN(2)/2))/(LN(2)/2)*FM67*FP67*VLOOKUP('Données projet'!$B$16,Paramètres!$A$1:$I$89,3,0)*0.475*44/12</f>
        <v>0</v>
      </c>
      <c r="FT67" s="24">
        <f t="shared" si="24"/>
        <v>0</v>
      </c>
      <c r="FU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60.228637966588138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12.8</v>
      </c>
      <c r="FZ67" s="13">
        <f>IF('Données projet'!$A$244&gt;35,FZ66+FY67-GH66,IF(A67&lt;'Données projet'!$A$244,$FW$205^A67,IF(A67='Données projet'!$A$244,'Données projet'!$B$244,FZ66+FY67-GH66)))</f>
        <v>299.59999999999997</v>
      </c>
      <c r="GA67" s="18">
        <f>FZ67*VLOOKUP('Données projet'!$B$17,Paramètres!$A$1:$I$89,3,0)*VLOOKUP('Données projet'!$B$17,Paramètres!$A$1:$I$89,5,0)</f>
        <v>179.16080000000002</v>
      </c>
      <c r="GB67" s="14">
        <f t="shared" si="49"/>
        <v>45.135428878592464</v>
      </c>
      <c r="GC67" s="22">
        <f t="shared" si="25"/>
        <v>390.64926529688188</v>
      </c>
      <c r="GD67" s="62">
        <f t="shared" si="26"/>
        <v>648.15427117437173</v>
      </c>
      <c r="GE67" s="62">
        <f ca="1">AVERAGE(OFFSET($GD$3,0,0,'Données projet'!$E$17+1,1))-AVERAGE(OFFSET($H$3,0,0,'Données projet'!$E$17+1,1))</f>
        <v>315.909549580511</v>
      </c>
      <c r="GF67" s="62">
        <f t="shared" si="50"/>
        <v>208.56856525402051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projet'!$B$17,Paramètres!$A$1:$I$89,3,0)*0.475*44/12</f>
        <v>0</v>
      </c>
      <c r="GM67" s="23">
        <f>EXP(-LN(2)/25)*GM66+(1-EXP(-LN(2)/25))/(LN(2)/25)*Calculateur!GH67*Calculateur!GJ67*VLOOKUP('Données projet'!$B$17,Paramètres!$A$1:$I$89,3,0)*0.475*44/12</f>
        <v>0</v>
      </c>
      <c r="GN67" s="23">
        <f>EXP(-LN(2)/2)*GN66+(1-EXP(-LN(2)/2))/(LN(2)/2)*GH67*GK67*VLOOKUP('Données projet'!$B$17,Paramètres!$A$1:$I$89,3,0)*0.475*44/12</f>
        <v>0</v>
      </c>
      <c r="GO67" s="23">
        <f t="shared" si="27"/>
        <v>0</v>
      </c>
      <c r="GP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60.228637966588138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3.974358974358978</v>
      </c>
      <c r="GU67" s="13">
        <f>IF('Données projet'!$A$270&gt;35,GU66+GT67-HC66,IF(A67&lt;'Données projet'!$A$270,$GR$205^A67,IF(A67='Données projet'!$A$270,'Données projet'!$B$270,GU66+GT67-HC66)))</f>
        <v>160.76923076923086</v>
      </c>
      <c r="GV67" s="18">
        <f>GU67*VLOOKUP('Données projet'!$B$18,Paramètres!$A$1:$I$89,3,0)*VLOOKUP('Données projet'!$B$18,Paramètres!$A$1:$I$89,5,0)</f>
        <v>107.84400000000007</v>
      </c>
      <c r="GW67" s="14">
        <f t="shared" si="51"/>
        <v>28.822430433579967</v>
      </c>
      <c r="GX67" s="22">
        <f t="shared" si="28"/>
        <v>238.02736633848522</v>
      </c>
      <c r="GY67" s="62">
        <f t="shared" si="29"/>
        <v>495.5323722159751</v>
      </c>
      <c r="GZ67" s="62">
        <f ca="1">AVERAGE(OFFSET($GY$3,0,0,'Données projet'!$E$18+1,1))-AVERAGE(OFFSET($H$3,0,0,'Données projet'!$E$18+1,1))</f>
        <v>254.35742752782755</v>
      </c>
      <c r="HA67" s="62">
        <f t="shared" si="52"/>
        <v>171.79611712137395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>
        <f>EXP(-LN(2)/35)*HG66+(1-EXP(-LN(2)/35))/(LN(2)/35)*HC67*HD67*VLOOKUP('Données projet'!$B$18,Paramètres!$A$1:$I$89,3,0)*0.475*44/12</f>
        <v>0</v>
      </c>
      <c r="HH67" s="23">
        <f>EXP(-LN(2)/25)*HH66+(1-EXP(-LN(2)/25))/(LN(2)/25)*Calculateur!HC67*Calculateur!HE67*VLOOKUP('Données projet'!$B$18,Paramètres!$A$1:$I$89,3,0)*0.475*44/12</f>
        <v>0</v>
      </c>
      <c r="HI67" s="23">
        <f>EXP(-LN(2)/2)*HI66+(1-EXP(-LN(2)/2))/(LN(2)/2)*HC67*HF67*VLOOKUP('Données projet'!$B$18,Paramètres!$A$1:$I$89,3,0)*0.475*44/12</f>
        <v>0</v>
      </c>
      <c r="HJ67" s="24">
        <f t="shared" si="30"/>
        <v>0</v>
      </c>
    </row>
    <row r="68" spans="1:218" s="5" customFormat="1" x14ac:dyDescent="0.3">
      <c r="A68" s="11">
        <f t="shared" si="31"/>
        <v>65</v>
      </c>
      <c r="B68" s="76">
        <f>'Scénario référence'!$B$16*5+'Scénario référence'!$B$17*0+'Scénario référence'!$B$18*5</f>
        <v>3.9405000000000001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14.448500000000001</v>
      </c>
      <c r="H68" s="69">
        <f t="shared" ref="H68:H131" si="56">(B68+E68+F68)*44/12+(C68+D68)*0.475*44/12</f>
        <v>161.30656666666667</v>
      </c>
      <c r="I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60.398149252375021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5.1989010989010991</v>
      </c>
      <c r="N68" s="14">
        <f>IF('Données projet'!$A$36&gt;35,N67+M68-V67,IF(A68&lt;'Données projet'!$A$36,$K$205^A68,IF(A68='Données projet'!$A$36,'Données projet'!$B$36,N67+M68-V67)))</f>
        <v>179.20109890109899</v>
      </c>
      <c r="O68" s="14">
        <f>N68*VLOOKUP('Données projet'!$B$9,Paramètres!$A$1:$I$89,3,0)*VLOOKUP('Données projet'!$B$9,Paramètres!$A$1:$I$89,5,0)</f>
        <v>104.83264285714291</v>
      </c>
      <c r="P68" s="14">
        <f t="shared" si="33"/>
        <v>28.110126684008662</v>
      </c>
      <c r="Q68" s="22">
        <f t="shared" si="54"/>
        <v>231.54199028417233</v>
      </c>
      <c r="R68" s="62">
        <f t="shared" si="55"/>
        <v>489.6685375428807</v>
      </c>
      <c r="S68" s="62">
        <f ca="1">AVERAGE(OFFSET($R$3,0,0,'Données projet'!$E$9+1,1))-AVERAGE(OFFSET($H$3,0,0,'Données projet'!$E$9+1,1))</f>
        <v>210.54472399593521</v>
      </c>
      <c r="T68" s="62">
        <f t="shared" si="34"/>
        <v>181.14158435194193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60.398149252375021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254.3</v>
      </c>
      <c r="AG68" s="13">
        <f>VLOOKUP(A68,'Données projet'!$A$61:$I$81,9,0)</f>
        <v>2.7600000000000025</v>
      </c>
      <c r="AH68" s="13">
        <f t="array" ref="AH68">INDEX(AG:AG,MIN(IF(ISNUMBER(AG68:AG264),ROW(AG68:AG264),"")))</f>
        <v>2.7600000000000025</v>
      </c>
      <c r="AI68" s="14">
        <f>IF('Données projet'!$A$62&gt;35,AI67+AH68-AQ67,IF(A68&lt;'Données projet'!$A$62,$AF$205^A68,IF(A68='Données projet'!$A$62,'Données projet'!$B$62,AI67+AH68-AQ67)))</f>
        <v>254.3</v>
      </c>
      <c r="AJ68" s="14">
        <f>AI68*VLOOKUP('Données projet'!$B$10,Paramètres!$A$1:$I$89,3,0)*VLOOKUP('Données projet'!$B$10,Paramètres!$A$1:$I$89,5,0)</f>
        <v>132.23600000000002</v>
      </c>
      <c r="AK68" s="14">
        <f t="shared" si="35"/>
        <v>34.512519351186441</v>
      </c>
      <c r="AL68" s="22">
        <f t="shared" ref="AL68:AL131" si="58">(AJ68+AK68)*0.475*44/12</f>
        <v>290.42033786998309</v>
      </c>
      <c r="AM68" s="62">
        <f t="shared" ref="AM68:AM131" si="59">AL68+(AD68+AE68)*44/12</f>
        <v>548.54688512869143</v>
      </c>
      <c r="AN68" s="62">
        <f ca="1">AVERAGE(OFFSET($AM$3,0,0,'Données projet'!$E$10+1,1))-AVERAGE(OFFSET($H$3,0,0,'Données projet'!$E$10+1,1))</f>
        <v>289.05608923588198</v>
      </c>
      <c r="AO68" s="62">
        <f t="shared" si="36"/>
        <v>220.06639020312738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60.398149252375021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1.6750000000000014</v>
      </c>
      <c r="BD68" s="13">
        <f>IF('Données projet'!$A$88&gt;35,BD67+BC68-BL67,IF(A68&lt;'Données projet'!$A$88,$BA$205^A68,IF(A68='Données projet'!$A$88,'Données projet'!$B$88,BD67+BC68-BL67)))</f>
        <v>84.487499999999955</v>
      </c>
      <c r="BE68" s="14">
        <f>BD68*VLOOKUP('Données projet'!$B$11,Paramètres!$A$1:$I$89,3,0)*VLOOKUP('Données projet'!$B$11,Paramètres!$A$1:$I$89,5,0)</f>
        <v>97.329599999999928</v>
      </c>
      <c r="BF68" s="14">
        <f t="shared" si="37"/>
        <v>26.324812862564265</v>
      </c>
      <c r="BG68" s="22">
        <f t="shared" ref="BG68:BG131" si="61">(BE68+BF68)*0.475*44/12</f>
        <v>215.36476906896596</v>
      </c>
      <c r="BH68" s="62">
        <f t="shared" ref="BH68:BH131" si="62">BG68+(AY68+AZ68)*44/12</f>
        <v>473.49131632767433</v>
      </c>
      <c r="BI68" s="62">
        <f ca="1">AVERAGE(OFFSET($BH$3,0,0,'Données projet'!$E$11+1,1))-AVERAGE(OFFSET($H$3,0,0,'Données projet'!$E$11+1,1))</f>
        <v>299.54950406029354</v>
      </c>
      <c r="BJ68" s="62">
        <f t="shared" si="38"/>
        <v>208.26364698165739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60.398149252375021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175</v>
      </c>
      <c r="BW68" s="13">
        <f>VLOOKUP(A68,'Données projet'!$A$113:$I$133,9,0)</f>
        <v>3.9743589743589722</v>
      </c>
      <c r="BX68" s="13">
        <f t="array" ref="BX68">INDEX(BW:BW,MIN(IF(ISNUMBER(BW68:BW264),ROW(BW68:BW264),"")))</f>
        <v>3.9743589743589722</v>
      </c>
      <c r="BY68" s="13">
        <f>IF('Données projet'!$A$114&gt;35,BY67+BX68-CG67,IF(A68&lt;'Données projet'!$A$114,$BV$205^A68,IF(A68='Données projet'!$A$114,'Données projet'!$B$114,BY67+BX68-CG67)))</f>
        <v>174.99999999999991</v>
      </c>
      <c r="BZ68" s="14">
        <f>BY68*VLOOKUP('Données projet'!$B$12,Paramètres!$A$1:$I$89,3,0)*VLOOKUP('Données projet'!$B$12,Paramètres!$A$1:$I$89,5,0)</f>
        <v>188.36999999999989</v>
      </c>
      <c r="CA68" s="14">
        <f t="shared" si="39"/>
        <v>47.179402486491256</v>
      </c>
      <c r="CB68" s="22">
        <f t="shared" ref="CB68:CB131" si="64">(BZ68+CA68)*0.475*44/12</f>
        <v>410.24854266397205</v>
      </c>
      <c r="CC68" s="62">
        <f t="shared" ref="CC68:CC131" si="65">CB68+(BT68+BU68)*44/12</f>
        <v>668.37508992268044</v>
      </c>
      <c r="CD68" s="62">
        <f ca="1">AVERAGE(OFFSET($CC$3,0,0,'Données projet'!$E$12+1,1))-AVERAGE(OFFSET($H$3,0,0,'Données projet'!$E$12+1,1))</f>
        <v>441.30518831297212</v>
      </c>
      <c r="CE68" s="62">
        <f t="shared" si="40"/>
        <v>270.42872405271851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60.398149252375021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211</v>
      </c>
      <c r="CR68" s="13">
        <f>VLOOKUP(A68,'Données projet'!$A$139:$I$159,9,0)</f>
        <v>3.2</v>
      </c>
      <c r="CS68" s="13">
        <f t="array" ref="CS68">INDEX(CR:CR,MIN(IF(ISNUMBER(CR68:CR264),ROW(CR68:CR264),"")))</f>
        <v>3.2</v>
      </c>
      <c r="CT68" s="13">
        <f>IF('Données projet'!$A$140&gt;35,CT67+CS68-DB67,IF(A68&lt;'Données projet'!$A$140,$CQ$205^A68,IF(A68='Données projet'!$A$140,'Données projet'!$B$140,CT67+CS68-DB67)))</f>
        <v>210.99999999999989</v>
      </c>
      <c r="CU68" s="18">
        <f>CT68*VLOOKUP('Données projet'!$B$13,Paramètres!$A$1:$I$89,3,0)*VLOOKUP('Données projet'!$B$13,Paramètres!$A$1:$I$89,5,0)</f>
        <v>184.32959999999994</v>
      </c>
      <c r="CV68" s="14">
        <f t="shared" si="41"/>
        <v>46.284105851003062</v>
      </c>
      <c r="CW68" s="22">
        <f t="shared" ref="CW68:CW131" si="67">(CU68+CV68)*0.475*44/12</f>
        <v>401.65220435716355</v>
      </c>
      <c r="CX68" s="62">
        <f t="shared" ref="CX68:CX131" si="68">CW68+(CO68+CP68)*44/12</f>
        <v>659.7787516158719</v>
      </c>
      <c r="CY68" s="62">
        <f ca="1">AVERAGE(OFFSET($CX$3,0,0,'Données projet'!$E$13+1,1))-AVERAGE(OFFSET($H$3,0,0,'Données projet'!$E$13+1,1))</f>
        <v>310.81258463659196</v>
      </c>
      <c r="CZ68" s="62">
        <f t="shared" si="42"/>
        <v>287.31099756692083</v>
      </c>
      <c r="DA68" s="16">
        <f>IF(ISNA(VLOOKUP(A68,'Données projet'!$A$139:$I$159,3,0)),0,VLOOKUP(A68,'Données projet'!$A$139:$I$159,3,0))</f>
        <v>5</v>
      </c>
      <c r="DB68" s="16">
        <f>IF(ISNA(VLOOKUP(A68,'Données projet'!$A$139:$I$159,4,0)),0,VLOOKUP(A68,'Données projet'!$A$139:$I$159,4,0))</f>
        <v>17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60.398149252375021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175</v>
      </c>
      <c r="DM68" s="13">
        <f>VLOOKUP(A68,'Données projet'!$A$165:$I$185,9,0)</f>
        <v>3.9743589743589722</v>
      </c>
      <c r="DN68" s="13">
        <f t="array" ref="DN68">INDEX(DM:DM,MIN(IF(ISNUMBER(DM68:DM264),ROW(DM68:DM264),"")))</f>
        <v>3.9743589743589722</v>
      </c>
      <c r="DO68" s="13">
        <f>IF('Données projet'!$A$166&gt;35,DO67+DN68-DW67,IF(A68&lt;'Données projet'!$A$166,$DL$205^A68,IF(A68='Données projet'!$A$166,'Données projet'!$B$166,DO67+DN68-DW67)))</f>
        <v>174.99999999999991</v>
      </c>
      <c r="DP68" s="18">
        <f>DO68*VLOOKUP('Données projet'!$B$14,Paramètres!$A$1:$I$89,3,0)*VLOOKUP('Données projet'!$B$14,Paramètres!$A$1:$I$89,5,0)</f>
        <v>182.90999999999991</v>
      </c>
      <c r="DQ68" s="14">
        <f t="shared" si="43"/>
        <v>45.969002027971243</v>
      </c>
      <c r="DR68" s="22">
        <f t="shared" ref="DR68:DR131" si="70">(DP68+DQ68)*0.475*44/12</f>
        <v>398.63092853204972</v>
      </c>
      <c r="DS68" s="62">
        <f t="shared" ref="DS68:DS131" si="71">DR68+(DJ68+DK68)*44/12</f>
        <v>656.75747579075812</v>
      </c>
      <c r="DT68" s="62">
        <f ca="1">AVERAGE(OFFSET($DS$3,0,0,'Données projet'!$E$14+1,1))-AVERAGE(OFFSET($H$3,0,0,'Données projet'!$E$14+1,1))</f>
        <v>431.19274104373625</v>
      </c>
      <c r="DU68" s="62">
        <f t="shared" si="44"/>
        <v>264.67919175178133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60.398149252375021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9.6897435897435908</v>
      </c>
      <c r="EJ68" s="13">
        <f>IF('Données projet'!$A$192&gt;35,EJ67+EI68-ER67,IF(A68&lt;'Données projet'!$A$192,$EG$205^A68,IF(A68='Données projet'!$A$192,'Données projet'!$B$192,EJ67+EI68-ER67)))</f>
        <v>261.98717948717933</v>
      </c>
      <c r="EK68" s="18">
        <f>EJ68*VLOOKUP('Données projet'!$B$15,Paramètres!$A$1:$I$89,3,0)*VLOOKUP('Données projet'!$B$15,Paramètres!$A$1:$I$89,5,0)</f>
        <v>122.60999999999993</v>
      </c>
      <c r="EL68" s="14">
        <f t="shared" si="45"/>
        <v>32.282974526111182</v>
      </c>
      <c r="EM68" s="22">
        <f t="shared" ref="EM68:EM131" si="73">(EK68+EL68)*0.475*44/12</f>
        <v>269.77193063297682</v>
      </c>
      <c r="EN68" s="62">
        <f t="shared" ref="EN68:EN131" si="74">EM68+(EE68+EF68)*44/12</f>
        <v>527.89847789168516</v>
      </c>
      <c r="EO68" s="62">
        <f ca="1">AVERAGE(OFFSET($EN$3,0,0,'Données projet'!$E$15+1,1))-AVERAGE(OFFSET($H$3,0,0,'Données projet'!$E$15+1,1))</f>
        <v>291.68530745507815</v>
      </c>
      <c r="EP68" s="62">
        <f t="shared" si="46"/>
        <v>175.95121106728979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0</v>
      </c>
      <c r="EZ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60.398149252375021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>
        <f>VLOOKUP(A68,'Données projet'!$A$217:$I$237,2,0)</f>
        <v>186</v>
      </c>
      <c r="FC68" s="13">
        <f>VLOOKUP(A68,'Données projet'!$A$217:$I$237,9,0)</f>
        <v>4.2</v>
      </c>
      <c r="FD68" s="13">
        <f t="array" ref="FD68">INDEX(FC:FC,MIN(IF(ISNUMBER(FC68:FC264),ROW(FC68:FC264),"")))</f>
        <v>4.2</v>
      </c>
      <c r="FE68" s="13">
        <f>IF('Données projet'!$A$218&gt;35,FE67+FD68-FM67,IF(A68&lt;'Données projet'!$A$218,$FB$205^A68,IF(A68='Données projet'!$A$218,'Données projet'!$B$218,FE67+FD68-FM67)))</f>
        <v>185.99999999999977</v>
      </c>
      <c r="FF68" s="18">
        <f>FE68*VLOOKUP('Données projet'!$B$16,Paramètres!$A$1:$I$89,3,0)*VLOOKUP('Données projet'!$B$16,Paramètres!$A$1:$I$89,5,0)</f>
        <v>121.86719999999985</v>
      </c>
      <c r="FG68" s="14">
        <f t="shared" si="47"/>
        <v>32.110100916567347</v>
      </c>
      <c r="FH68" s="22">
        <f t="shared" ref="FH68:FH131" si="76">(FF68+FG68)*0.475*44/12</f>
        <v>268.17713242968784</v>
      </c>
      <c r="FI68" s="62">
        <f t="shared" ref="FI68:FI131" si="77">FH68+(EZ68+FA68)*44/12</f>
        <v>526.30367968839619</v>
      </c>
      <c r="FJ68" s="62">
        <f ca="1">AVERAGE(OFFSET($FI$3,0,0,'Données projet'!$E$16+1,1))-AVERAGE(OFFSET($H$3,0,0,'Données projet'!$E$16+1,1))</f>
        <v>248.75689726928428</v>
      </c>
      <c r="FK68" s="62">
        <f t="shared" si="48"/>
        <v>232.02291680388336</v>
      </c>
      <c r="FL68" s="16">
        <f>IF(ISNA(VLOOKUP(A68,'Données projet'!$A$217:$I$237,3,0)),0,VLOOKUP(A68,'Données projet'!$A$217:$I$237,3,0))</f>
        <v>5</v>
      </c>
      <c r="FM68" s="16">
        <f>IF(ISNA(VLOOKUP(A68,'Données projet'!$A$217:$I$237,4,0)),0,VLOOKUP(A68,'Données projet'!$A$217:$I$237,4,0))</f>
        <v>33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projet'!$B$16,Paramètres!$A$1:$I$89,3,0)*0.475*44/12</f>
        <v>0</v>
      </c>
      <c r="FR68" s="23">
        <f>EXP(-LN(2)/25)*FR67+(1-EXP(-LN(2)/25))/(LN(2)/25)*Calculateur!FM68*Calculateur!FO68*VLOOKUP('Données projet'!$B$16,Paramètres!$A$1:$I$89,3,0)*0.475*44/12</f>
        <v>0</v>
      </c>
      <c r="FS68" s="23">
        <f>EXP(-LN(2)/2)*FS67+(1-EXP(-LN(2)/2))/(LN(2)/2)*FM68*FP68*VLOOKUP('Données projet'!$B$16,Paramètres!$A$1:$I$89,3,0)*0.475*44/12</f>
        <v>0</v>
      </c>
      <c r="FT68" s="24">
        <f t="shared" ref="FT68:FT131" si="78">SUM(FQ68:FS68)</f>
        <v>0</v>
      </c>
      <c r="FU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60.398149252375021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12.8</v>
      </c>
      <c r="FZ68" s="13">
        <f>IF('Données projet'!$A$244&gt;35,FZ67+FY68-GH67,IF(A68&lt;'Données projet'!$A$244,$FW$205^A68,IF(A68='Données projet'!$A$244,'Données projet'!$B$244,FZ67+FY68-GH67)))</f>
        <v>312.39999999999998</v>
      </c>
      <c r="GA68" s="18">
        <f>FZ68*VLOOKUP('Données projet'!$B$17,Paramètres!$A$1:$I$89,3,0)*VLOOKUP('Données projet'!$B$17,Paramètres!$A$1:$I$89,5,0)</f>
        <v>186.8152</v>
      </c>
      <c r="GB68" s="14">
        <f t="shared" si="49"/>
        <v>46.83514756492545</v>
      </c>
      <c r="GC68" s="22">
        <f t="shared" ref="GC68:GC131" si="79">(GA68+GB68)*0.475*44/12</f>
        <v>406.94102200891183</v>
      </c>
      <c r="GD68" s="62">
        <f t="shared" ref="GD68:GD131" si="80">GC68+(FU68+FV68)*44/12</f>
        <v>665.06756926762023</v>
      </c>
      <c r="GE68" s="62">
        <f ca="1">AVERAGE(OFFSET($GD$3,0,0,'Données projet'!$E$17+1,1))-AVERAGE(OFFSET($H$3,0,0,'Données projet'!$E$17+1,1))</f>
        <v>315.909549580511</v>
      </c>
      <c r="GF68" s="62">
        <f t="shared" si="50"/>
        <v>208.56856525402051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>
        <f>EXP(-LN(2)/35)*GL67+(1-EXP(-LN(2)/35))/(LN(2)/35)*GH68*GI68*VLOOKUP('Données projet'!$B$17,Paramètres!$A$1:$I$89,3,0)*0.475*44/12</f>
        <v>0</v>
      </c>
      <c r="GM68" s="23">
        <f>EXP(-LN(2)/25)*GM67+(1-EXP(-LN(2)/25))/(LN(2)/25)*Calculateur!GH68*Calculateur!GJ68*VLOOKUP('Données projet'!$B$17,Paramètres!$A$1:$I$89,3,0)*0.475*44/12</f>
        <v>0</v>
      </c>
      <c r="GN68" s="23">
        <f>EXP(-LN(2)/2)*GN67+(1-EXP(-LN(2)/2))/(LN(2)/2)*GH68*GK68*VLOOKUP('Données projet'!$B$17,Paramètres!$A$1:$I$89,3,0)*0.475*44/12</f>
        <v>0</v>
      </c>
      <c r="GO68" s="23">
        <f t="shared" ref="GO68:GO131" si="81">SUM(GL68:GN68)</f>
        <v>0</v>
      </c>
      <c r="GP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60.398149252375021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>
        <f>VLOOKUP(A68,'Données projet'!$A$269:$I$289,2,0)</f>
        <v>164.74358974358975</v>
      </c>
      <c r="GS68" s="13">
        <f>VLOOKUP(A68,'Données projet'!$A$269:$I$289,9,0)</f>
        <v>3.974358974358978</v>
      </c>
      <c r="GT68" s="13">
        <f t="array" ref="GT68">INDEX(GS:GS,MIN(IF(ISNUMBER(GS68:GS264),ROW(GS68:GS264),"")))</f>
        <v>3.974358974358978</v>
      </c>
      <c r="GU68" s="13">
        <f>IF('Données projet'!$A$270&gt;35,GU67+GT68-HC67,IF(A68&lt;'Données projet'!$A$270,$GR$205^A68,IF(A68='Données projet'!$A$270,'Données projet'!$B$270,GU67+GT68-HC67)))</f>
        <v>164.74358974358984</v>
      </c>
      <c r="GV68" s="18">
        <f>GU68*VLOOKUP('Données projet'!$B$18,Paramètres!$A$1:$I$89,3,0)*VLOOKUP('Données projet'!$B$18,Paramètres!$A$1:$I$89,5,0)</f>
        <v>110.51000000000008</v>
      </c>
      <c r="GW68" s="14">
        <f t="shared" si="51"/>
        <v>29.45111218268562</v>
      </c>
      <c r="GX68" s="22">
        <f t="shared" ref="GX68:GX131" si="82">(GV68+GW68)*0.475*44/12</f>
        <v>243.76560371817754</v>
      </c>
      <c r="GY68" s="62">
        <f t="shared" ref="GY68:GY131" si="83">GX68+(GP68+GQ68)*44/12</f>
        <v>501.89215097688594</v>
      </c>
      <c r="GZ68" s="62">
        <f ca="1">AVERAGE(OFFSET($GY$3,0,0,'Données projet'!$E$18+1,1))-AVERAGE(OFFSET($H$3,0,0,'Données projet'!$E$18+1,1))</f>
        <v>254.35742752782755</v>
      </c>
      <c r="HA68" s="62">
        <f t="shared" si="52"/>
        <v>171.79611712137395</v>
      </c>
      <c r="HB68" s="16">
        <f>IF(ISNA(VLOOKUP(A68,'Données projet'!$A$269:$I$289,3,0)),0,VLOOKUP(A68,'Données projet'!$A$269:$I$289,3,0))</f>
        <v>5</v>
      </c>
      <c r="HC68" s="16">
        <f>IF(ISNA(VLOOKUP(A68,'Données projet'!$A$269:$I$289,4,0)),0,VLOOKUP(A68,'Données projet'!$A$269:$I$289,4,0))</f>
        <v>21.153846153846153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>
        <f>EXP(-LN(2)/35)*HG67+(1-EXP(-LN(2)/35))/(LN(2)/35)*HC68*HD68*VLOOKUP('Données projet'!$B$18,Paramètres!$A$1:$I$89,3,0)*0.475*44/12</f>
        <v>0</v>
      </c>
      <c r="HH68" s="23">
        <f>EXP(-LN(2)/25)*HH67+(1-EXP(-LN(2)/25))/(LN(2)/25)*Calculateur!HC68*Calculateur!HE68*VLOOKUP('Données projet'!$B$18,Paramètres!$A$1:$I$89,3,0)*0.475*44/12</f>
        <v>0</v>
      </c>
      <c r="HI68" s="23">
        <f>EXP(-LN(2)/2)*HI67+(1-EXP(-LN(2)/2))/(LN(2)/2)*HC68*HF68*VLOOKUP('Données projet'!$B$18,Paramètres!$A$1:$I$89,3,0)*0.475*44/12</f>
        <v>0</v>
      </c>
      <c r="HJ68" s="24">
        <f t="shared" ref="HJ68:HJ131" si="84">SUM(HG68:HI68)</f>
        <v>0</v>
      </c>
    </row>
    <row r="69" spans="1:218" s="5" customFormat="1" x14ac:dyDescent="0.3">
      <c r="A69" s="11">
        <f t="shared" ref="A69:A132" si="85">A68+1</f>
        <v>66</v>
      </c>
      <c r="B69" s="76">
        <f>'Scénario référence'!$B$16*5+'Scénario référence'!$B$17*0+'Scénario référence'!$B$18*5</f>
        <v>3.9405000000000001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14.448500000000001</v>
      </c>
      <c r="H69" s="69">
        <f t="shared" si="56"/>
        <v>161.30656666666667</v>
      </c>
      <c r="I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60.564719896323957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>
        <f>VLOOKUP(A69,'Données projet'!$A$35:$I$55,2,0)</f>
        <v>184.4</v>
      </c>
      <c r="L69" s="13">
        <f>VLOOKUP(A69,'Données projet'!$A$35:$I$55,9,0)</f>
        <v>5.1989010989010991</v>
      </c>
      <c r="M69" s="13">
        <f t="array" ref="M69">INDEX(L:L,MIN(IF(ISNUMBER(L69:L265),ROW(L69:L265),"")))</f>
        <v>5.1989010989010991</v>
      </c>
      <c r="N69" s="14">
        <f>IF('Données projet'!$A$36&gt;35,N68+M69-V68,IF(A69&lt;'Données projet'!$A$36,$K$205^A69,IF(A69='Données projet'!$A$36,'Données projet'!$B$36,N68+M69-V68)))</f>
        <v>184.40000000000009</v>
      </c>
      <c r="O69" s="14">
        <f>N69*VLOOKUP('Données projet'!$B$9,Paramètres!$A$1:$I$89,3,0)*VLOOKUP('Données projet'!$B$9,Paramètres!$A$1:$I$89,5,0)</f>
        <v>107.87400000000007</v>
      </c>
      <c r="P69" s="14">
        <f t="shared" ref="P69:P132" si="87">EXP(-1.0587+0.8836*LN(O69)+0.284)</f>
        <v>28.829514857540598</v>
      </c>
      <c r="Q69" s="22">
        <f t="shared" si="54"/>
        <v>238.09195504354997</v>
      </c>
      <c r="R69" s="62">
        <f t="shared" si="55"/>
        <v>496.82926133007118</v>
      </c>
      <c r="S69" s="62">
        <f ca="1">AVERAGE(OFFSET($R$3,0,0,'Données projet'!$E$9+1,1))-AVERAGE(OFFSET($H$3,0,0,'Données projet'!$E$9+1,1))</f>
        <v>210.54472399593521</v>
      </c>
      <c r="T69" s="62">
        <f t="shared" ref="T69:T132" si="88">$T$3</f>
        <v>181.14158435194193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60.564719896323957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2.5199999999999934</v>
      </c>
      <c r="AI69" s="14">
        <f>IF('Données projet'!$A$62&gt;35,AI68+AH69-AQ68,IF(A69&lt;'Données projet'!$A$62,$AF$205^A69,IF(A69='Données projet'!$A$62,'Données projet'!$B$62,AI68+AH69-AQ68)))</f>
        <v>256.82</v>
      </c>
      <c r="AJ69" s="14">
        <f>AI69*VLOOKUP('Données projet'!$B$10,Paramètres!$A$1:$I$89,3,0)*VLOOKUP('Données projet'!$B$10,Paramètres!$A$1:$I$89,5,0)</f>
        <v>133.54640000000001</v>
      </c>
      <c r="AK69" s="14">
        <f t="shared" ref="AK69:AK132" si="89">EXP(-1.0587+0.8836*LN(AJ69)+0.284)</f>
        <v>34.814540200675587</v>
      </c>
      <c r="AL69" s="22">
        <f t="shared" si="58"/>
        <v>293.22863751617666</v>
      </c>
      <c r="AM69" s="62">
        <f t="shared" si="59"/>
        <v>551.96594380269789</v>
      </c>
      <c r="AN69" s="62">
        <f ca="1">AVERAGE(OFFSET($AM$3,0,0,'Données projet'!$E$10+1,1))-AVERAGE(OFFSET($H$3,0,0,'Données projet'!$E$10+1,1))</f>
        <v>289.05608923588198</v>
      </c>
      <c r="AO69" s="62">
        <f t="shared" ref="AO69:AO132" si="90">$AO$3</f>
        <v>220.06639020312738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60.564719896323957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1.6750000000000014</v>
      </c>
      <c r="BD69" s="13">
        <f>IF('Données projet'!$A$88&gt;35,BD68+BC69-BL68,IF(A69&lt;'Données projet'!$A$88,$BA$205^A69,IF(A69='Données projet'!$A$88,'Données projet'!$B$88,BD68+BC69-BL68)))</f>
        <v>86.162499999999952</v>
      </c>
      <c r="BE69" s="14">
        <f>BD69*VLOOKUP('Données projet'!$B$11,Paramètres!$A$1:$I$89,3,0)*VLOOKUP('Données projet'!$B$11,Paramètres!$A$1:$I$89,5,0)</f>
        <v>99.259199999999936</v>
      </c>
      <c r="BF69" s="14">
        <f t="shared" ref="BF69:BF132" si="91">EXP(-1.0587+0.8836*LN(BE69)+0.284)</f>
        <v>26.785435862245482</v>
      </c>
      <c r="BG69" s="22">
        <f t="shared" si="61"/>
        <v>219.52774079341077</v>
      </c>
      <c r="BH69" s="62">
        <f t="shared" si="62"/>
        <v>478.265047079932</v>
      </c>
      <c r="BI69" s="62">
        <f ca="1">AVERAGE(OFFSET($BH$3,0,0,'Données projet'!$E$11+1,1))-AVERAGE(OFFSET($H$3,0,0,'Données projet'!$E$11+1,1))</f>
        <v>299.54950406029354</v>
      </c>
      <c r="BJ69" s="62">
        <f t="shared" ref="BJ69:BJ132" si="92">$BJ$3</f>
        <v>208.26364698165739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60.564719896323957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3.8461538461538454</v>
      </c>
      <c r="BY69" s="13">
        <f>IF('Données projet'!$A$114&gt;35,BY68+BX69-CG68,IF(A69&lt;'Données projet'!$A$114,$BV$205^A69,IF(A69='Données projet'!$A$114,'Données projet'!$B$114,BY68+BX69-CG68)))</f>
        <v>178.84615384615375</v>
      </c>
      <c r="BZ69" s="14">
        <f>BY69*VLOOKUP('Données projet'!$B$12,Paramètres!$A$1:$I$89,3,0)*VLOOKUP('Données projet'!$B$12,Paramètres!$A$1:$I$89,5,0)</f>
        <v>192.50999999999988</v>
      </c>
      <c r="CA69" s="14">
        <f t="shared" ref="CA69:CA132" si="93">EXP(-1.0587+0.8836*LN(BZ69)+0.284)</f>
        <v>48.094453640817569</v>
      </c>
      <c r="CB69" s="22">
        <f t="shared" si="64"/>
        <v>419.05275675775698</v>
      </c>
      <c r="CC69" s="62">
        <f t="shared" si="65"/>
        <v>677.79006304427821</v>
      </c>
      <c r="CD69" s="62">
        <f ca="1">AVERAGE(OFFSET($CC$3,0,0,'Données projet'!$E$12+1,1))-AVERAGE(OFFSET($H$3,0,0,'Données projet'!$E$12+1,1))</f>
        <v>441.30518831297212</v>
      </c>
      <c r="CE69" s="62">
        <f t="shared" ref="CE69:CE132" si="94">$CE$3</f>
        <v>270.42872405271851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60.564719896323957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3</v>
      </c>
      <c r="CT69" s="13">
        <f>IF('Données projet'!$A$140&gt;35,CT68+CS69-DB68,IF(A69&lt;'Données projet'!$A$140,$CQ$205^A69,IF(A69='Données projet'!$A$140,'Données projet'!$B$140,CT68+CS69-DB68)))</f>
        <v>196.99999999999989</v>
      </c>
      <c r="CU69" s="18">
        <f>CT69*VLOOKUP('Données projet'!$B$13,Paramètres!$A$1:$I$89,3,0)*VLOOKUP('Données projet'!$B$13,Paramètres!$A$1:$I$89,5,0)</f>
        <v>172.09919999999994</v>
      </c>
      <c r="CV69" s="14">
        <f t="shared" ref="CV69:CV132" si="95">EXP(-1.0587+0.8836*LN(CU69)+0.284)</f>
        <v>43.559838214506954</v>
      </c>
      <c r="CW69" s="22">
        <f t="shared" si="67"/>
        <v>375.60615822359949</v>
      </c>
      <c r="CX69" s="62">
        <f t="shared" si="68"/>
        <v>634.34346451012073</v>
      </c>
      <c r="CY69" s="62">
        <f ca="1">AVERAGE(OFFSET($CX$3,0,0,'Données projet'!$E$13+1,1))-AVERAGE(OFFSET($H$3,0,0,'Données projet'!$E$13+1,1))</f>
        <v>310.81258463659196</v>
      </c>
      <c r="CZ69" s="62">
        <f t="shared" ref="CZ69:CZ132" si="96">$CZ$3</f>
        <v>287.31099756692083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60.564719896323957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3.8461538461538454</v>
      </c>
      <c r="DO69" s="13">
        <f>IF('Données projet'!$A$166&gt;35,DO68+DN69-DW68,IF(A69&lt;'Données projet'!$A$166,$DL$205^A69,IF(A69='Données projet'!$A$166,'Données projet'!$B$166,DO68+DN69-DW68)))</f>
        <v>178.84615384615375</v>
      </c>
      <c r="DP69" s="18">
        <f>DO69*VLOOKUP('Données projet'!$B$14,Paramètres!$A$1:$I$89,3,0)*VLOOKUP('Données projet'!$B$14,Paramètres!$A$1:$I$89,5,0)</f>
        <v>186.92999999999992</v>
      </c>
      <c r="DQ69" s="14">
        <f t="shared" ref="DQ69:DQ132" si="97">EXP(-1.0587+0.8836*LN(DP69)+0.284)</f>
        <v>46.860577294974036</v>
      </c>
      <c r="DR69" s="22">
        <f t="shared" si="70"/>
        <v>407.18525545541297</v>
      </c>
      <c r="DS69" s="62">
        <f t="shared" si="71"/>
        <v>665.92256174193426</v>
      </c>
      <c r="DT69" s="62">
        <f ca="1">AVERAGE(OFFSET($DS$3,0,0,'Données projet'!$E$14+1,1))-AVERAGE(OFFSET($H$3,0,0,'Données projet'!$E$14+1,1))</f>
        <v>431.19274104373625</v>
      </c>
      <c r="DU69" s="62">
        <f t="shared" ref="DU69:DU132" si="98">$DU$3</f>
        <v>264.67919175178133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60.564719896323957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9.6897435897435908</v>
      </c>
      <c r="EJ69" s="13">
        <f>IF('Données projet'!$A$192&gt;35,EJ68+EI69-ER68,IF(A69&lt;'Données projet'!$A$192,$EG$205^A69,IF(A69='Données projet'!$A$192,'Données projet'!$B$192,EJ68+EI69-ER68)))</f>
        <v>271.67692307692295</v>
      </c>
      <c r="EK69" s="18">
        <f>EJ69*VLOOKUP('Données projet'!$B$15,Paramètres!$A$1:$I$89,3,0)*VLOOKUP('Données projet'!$B$15,Paramètres!$A$1:$I$89,5,0)</f>
        <v>127.14479999999995</v>
      </c>
      <c r="EL69" s="14">
        <f t="shared" ref="EL69:EL132" si="99">EXP(-1.0587+0.8836*LN(EK69)+0.284)</f>
        <v>33.335756139335082</v>
      </c>
      <c r="EM69" s="22">
        <f t="shared" si="73"/>
        <v>279.50363527600848</v>
      </c>
      <c r="EN69" s="62">
        <f t="shared" si="74"/>
        <v>538.24094156252977</v>
      </c>
      <c r="EO69" s="62">
        <f ca="1">AVERAGE(OFFSET($EN$3,0,0,'Données projet'!$E$15+1,1))-AVERAGE(OFFSET($H$3,0,0,'Données projet'!$E$15+1,1))</f>
        <v>291.68530745507815</v>
      </c>
      <c r="EP69" s="62">
        <f t="shared" ref="EP69:EP132" si="100">$EP$3</f>
        <v>175.95121106728979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0</v>
      </c>
      <c r="EZ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60.564719896323957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3.8</v>
      </c>
      <c r="FE69" s="13">
        <f>IF('Données projet'!$A$218&gt;35,FE68+FD69-FM68,IF(A69&lt;'Données projet'!$A$218,$FB$205^A69,IF(A69='Données projet'!$A$218,'Données projet'!$B$218,FE68+FD69-FM68)))</f>
        <v>156.79999999999978</v>
      </c>
      <c r="FF69" s="18">
        <f>FE69*VLOOKUP('Données projet'!$B$16,Paramètres!$A$1:$I$89,3,0)*VLOOKUP('Données projet'!$B$16,Paramètres!$A$1:$I$89,5,0)</f>
        <v>102.73535999999986</v>
      </c>
      <c r="FG69" s="14">
        <f t="shared" ref="FG69:FG132" si="101">EXP(-1.0587+0.8836*LN(FF69)+0.284)</f>
        <v>27.612632326356994</v>
      </c>
      <c r="FH69" s="22">
        <f t="shared" si="76"/>
        <v>227.02275330173816</v>
      </c>
      <c r="FI69" s="62">
        <f t="shared" si="77"/>
        <v>485.76005958825942</v>
      </c>
      <c r="FJ69" s="62">
        <f ca="1">AVERAGE(OFFSET($FI$3,0,0,'Données projet'!$E$16+1,1))-AVERAGE(OFFSET($H$3,0,0,'Données projet'!$E$16+1,1))</f>
        <v>248.75689726928428</v>
      </c>
      <c r="FK69" s="62">
        <f t="shared" ref="FK69:FK132" si="102">$FK$3</f>
        <v>232.02291680388336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projet'!$B$16,Paramètres!$A$1:$I$89,3,0)*0.475*44/12</f>
        <v>0</v>
      </c>
      <c r="FR69" s="23">
        <f>EXP(-LN(2)/25)*FR68+(1-EXP(-LN(2)/25))/(LN(2)/25)*Calculateur!FM69*Calculateur!FO69*VLOOKUP('Données projet'!$B$16,Paramètres!$A$1:$I$89,3,0)*0.475*44/12</f>
        <v>0</v>
      </c>
      <c r="FS69" s="23">
        <f>EXP(-LN(2)/2)*FS68+(1-EXP(-LN(2)/2))/(LN(2)/2)*FM69*FP69*VLOOKUP('Données projet'!$B$16,Paramètres!$A$1:$I$89,3,0)*0.475*44/12</f>
        <v>0</v>
      </c>
      <c r="FT69" s="24">
        <f t="shared" si="78"/>
        <v>0</v>
      </c>
      <c r="FU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60.564719896323957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12.8</v>
      </c>
      <c r="FZ69" s="13">
        <f>IF('Données projet'!$A$244&gt;35,FZ68+FY69-GH68,IF(A69&lt;'Données projet'!$A$244,$FW$205^A69,IF(A69='Données projet'!$A$244,'Données projet'!$B$244,FZ68+FY69-GH68)))</f>
        <v>325.2</v>
      </c>
      <c r="GA69" s="18">
        <f>FZ69*VLOOKUP('Données projet'!$B$17,Paramètres!$A$1:$I$89,3,0)*VLOOKUP('Données projet'!$B$17,Paramètres!$A$1:$I$89,5,0)</f>
        <v>194.46960000000001</v>
      </c>
      <c r="GB69" s="14">
        <f t="shared" ref="GB69:GB132" si="103">EXP(-1.0587+0.8836*LN(GA69)+0.284)</f>
        <v>48.526776743352656</v>
      </c>
      <c r="GC69" s="22">
        <f t="shared" si="79"/>
        <v>423.21868949467256</v>
      </c>
      <c r="GD69" s="62">
        <f t="shared" si="80"/>
        <v>681.95599578119379</v>
      </c>
      <c r="GE69" s="62">
        <f ca="1">AVERAGE(OFFSET($GD$3,0,0,'Données projet'!$E$17+1,1))-AVERAGE(OFFSET($H$3,0,0,'Données projet'!$E$17+1,1))</f>
        <v>315.909549580511</v>
      </c>
      <c r="GF69" s="62">
        <f t="shared" ref="GF69:GF132" si="104">$GF$3</f>
        <v>208.56856525402051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projet'!$B$17,Paramètres!$A$1:$I$89,3,0)*0.475*44/12</f>
        <v>0</v>
      </c>
      <c r="GM69" s="23">
        <f>EXP(-LN(2)/25)*GM68+(1-EXP(-LN(2)/25))/(LN(2)/25)*Calculateur!GH69*Calculateur!GJ69*VLOOKUP('Données projet'!$B$17,Paramètres!$A$1:$I$89,3,0)*0.475*44/12</f>
        <v>0</v>
      </c>
      <c r="GN69" s="23">
        <f>EXP(-LN(2)/2)*GN68+(1-EXP(-LN(2)/2))/(LN(2)/2)*GH69*GK69*VLOOKUP('Données projet'!$B$17,Paramètres!$A$1:$I$89,3,0)*0.475*44/12</f>
        <v>0</v>
      </c>
      <c r="GO69" s="23">
        <f t="shared" si="81"/>
        <v>0</v>
      </c>
      <c r="GP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60.564719896323957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3.4615384615384586</v>
      </c>
      <c r="GU69" s="13">
        <f>IF('Données projet'!$A$270&gt;35,GU68+GT69-HC68,IF(A69&lt;'Données projet'!$A$270,$GR$205^A69,IF(A69='Données projet'!$A$270,'Données projet'!$B$270,GU68+GT69-HC68)))</f>
        <v>147.05128205128213</v>
      </c>
      <c r="GV69" s="18">
        <f>GU69*VLOOKUP('Données projet'!$B$18,Paramètres!$A$1:$I$89,3,0)*VLOOKUP('Données projet'!$B$18,Paramètres!$A$1:$I$89,5,0)</f>
        <v>98.642000000000053</v>
      </c>
      <c r="GW69" s="14">
        <f t="shared" ref="GW69:GW132" si="105">EXP(-1.0587+0.8836*LN(GV69)+0.284)</f>
        <v>26.638215773406319</v>
      </c>
      <c r="GX69" s="22">
        <f t="shared" si="82"/>
        <v>218.19637580534945</v>
      </c>
      <c r="GY69" s="62">
        <f t="shared" si="83"/>
        <v>476.93368209187065</v>
      </c>
      <c r="GZ69" s="62">
        <f ca="1">AVERAGE(OFFSET($GY$3,0,0,'Données projet'!$E$18+1,1))-AVERAGE(OFFSET($H$3,0,0,'Données projet'!$E$18+1,1))</f>
        <v>254.35742752782755</v>
      </c>
      <c r="HA69" s="62">
        <f t="shared" ref="HA69:HA132" si="106">$HA$3</f>
        <v>171.79611712137395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>
        <f>EXP(-LN(2)/35)*HG68+(1-EXP(-LN(2)/35))/(LN(2)/35)*HC69*HD69*VLOOKUP('Données projet'!$B$18,Paramètres!$A$1:$I$89,3,0)*0.475*44/12</f>
        <v>0</v>
      </c>
      <c r="HH69" s="23">
        <f>EXP(-LN(2)/25)*HH68+(1-EXP(-LN(2)/25))/(LN(2)/25)*Calculateur!HC69*Calculateur!HE69*VLOOKUP('Données projet'!$B$18,Paramètres!$A$1:$I$89,3,0)*0.475*44/12</f>
        <v>0</v>
      </c>
      <c r="HI69" s="23">
        <f>EXP(-LN(2)/2)*HI68+(1-EXP(-LN(2)/2))/(LN(2)/2)*HC69*HF69*VLOOKUP('Données projet'!$B$18,Paramètres!$A$1:$I$89,3,0)*0.475*44/12</f>
        <v>0</v>
      </c>
      <c r="HJ69" s="24">
        <f t="shared" si="84"/>
        <v>0</v>
      </c>
    </row>
    <row r="70" spans="1:218" s="5" customFormat="1" x14ac:dyDescent="0.3">
      <c r="A70" s="11">
        <f t="shared" si="85"/>
        <v>67</v>
      </c>
      <c r="B70" s="76">
        <f>'Scénario référence'!$B$16*5+'Scénario référence'!$B$17*0+'Scénario référence'!$B$18*5</f>
        <v>3.9405000000000001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14.448500000000001</v>
      </c>
      <c r="H70" s="69">
        <f t="shared" si="56"/>
        <v>161.30656666666667</v>
      </c>
      <c r="I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60.728400911996552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5.3778846153846125</v>
      </c>
      <c r="N70" s="14">
        <f>IF('Données projet'!$A$36&gt;35,N69+M70-V69,IF(A70&lt;'Données projet'!$A$36,$K$205^A70,IF(A70='Données projet'!$A$36,'Données projet'!$B$36,N69+M70-V69)))</f>
        <v>189.77788461538469</v>
      </c>
      <c r="O70" s="14">
        <f>N70*VLOOKUP('Données projet'!$B$9,Paramètres!$A$1:$I$89,3,0)*VLOOKUP('Données projet'!$B$9,Paramètres!$A$1:$I$89,5,0)</f>
        <v>111.02006250000005</v>
      </c>
      <c r="P70" s="14">
        <f t="shared" si="87"/>
        <v>29.571189989165418</v>
      </c>
      <c r="Q70" s="22">
        <f t="shared" si="54"/>
        <v>244.86309808529651</v>
      </c>
      <c r="R70" s="62">
        <f t="shared" si="55"/>
        <v>504.20056809595053</v>
      </c>
      <c r="S70" s="62">
        <f ca="1">AVERAGE(OFFSET($R$3,0,0,'Données projet'!$E$9+1,1))-AVERAGE(OFFSET($H$3,0,0,'Données projet'!$E$9+1,1))</f>
        <v>210.54472399593521</v>
      </c>
      <c r="T70" s="62">
        <f t="shared" si="88"/>
        <v>181.14158435194193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60.728400911996552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2.5199999999999934</v>
      </c>
      <c r="AI70" s="14">
        <f>IF('Données projet'!$A$62&gt;35,AI69+AH70-AQ69,IF(A70&lt;'Données projet'!$A$62,$AF$205^A70,IF(A70='Données projet'!$A$62,'Données projet'!$B$62,AI69+AH70-AQ69)))</f>
        <v>259.33999999999997</v>
      </c>
      <c r="AJ70" s="14">
        <f>AI70*VLOOKUP('Données projet'!$B$10,Paramètres!$A$1:$I$89,3,0)*VLOOKUP('Données projet'!$B$10,Paramètres!$A$1:$I$89,5,0)</f>
        <v>134.85679999999999</v>
      </c>
      <c r="AK70" s="14">
        <f t="shared" si="89"/>
        <v>35.11621628690127</v>
      </c>
      <c r="AL70" s="22">
        <f t="shared" si="58"/>
        <v>296.03633669968639</v>
      </c>
      <c r="AM70" s="62">
        <f t="shared" si="59"/>
        <v>555.37380671034043</v>
      </c>
      <c r="AN70" s="62">
        <f ca="1">AVERAGE(OFFSET($AM$3,0,0,'Données projet'!$E$10+1,1))-AVERAGE(OFFSET($H$3,0,0,'Données projet'!$E$10+1,1))</f>
        <v>289.05608923588198</v>
      </c>
      <c r="AO70" s="62">
        <f t="shared" si="90"/>
        <v>220.06639020312738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60.728400911996552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1.6750000000000014</v>
      </c>
      <c r="BD70" s="13">
        <f>IF('Données projet'!$A$88&gt;35,BD69+BC70-BL69,IF(A70&lt;'Données projet'!$A$88,$BA$205^A70,IF(A70='Données projet'!$A$88,'Données projet'!$B$88,BD69+BC70-BL69)))</f>
        <v>87.837499999999949</v>
      </c>
      <c r="BE70" s="14">
        <f>BD70*VLOOKUP('Données projet'!$B$11,Paramètres!$A$1:$I$89,3,0)*VLOOKUP('Données projet'!$B$11,Paramètres!$A$1:$I$89,5,0)</f>
        <v>101.18879999999993</v>
      </c>
      <c r="BF70" s="14">
        <f t="shared" si="91"/>
        <v>27.245017665270392</v>
      </c>
      <c r="BG70" s="22">
        <f t="shared" si="61"/>
        <v>223.68889910034579</v>
      </c>
      <c r="BH70" s="62">
        <f t="shared" si="62"/>
        <v>483.02636911099978</v>
      </c>
      <c r="BI70" s="62">
        <f ca="1">AVERAGE(OFFSET($BH$3,0,0,'Données projet'!$E$11+1,1))-AVERAGE(OFFSET($H$3,0,0,'Données projet'!$E$11+1,1))</f>
        <v>299.54950406029354</v>
      </c>
      <c r="BJ70" s="62">
        <f t="shared" si="92"/>
        <v>208.26364698165739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60.728400911996552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3.8461538461538454</v>
      </c>
      <c r="BY70" s="13">
        <f>IF('Données projet'!$A$114&gt;35,BY69+BX70-CG69,IF(A70&lt;'Données projet'!$A$114,$BV$205^A70,IF(A70='Données projet'!$A$114,'Données projet'!$B$114,BY69+BX70-CG69)))</f>
        <v>182.69230769230759</v>
      </c>
      <c r="BZ70" s="14">
        <f>BY70*VLOOKUP('Données projet'!$B$12,Paramètres!$A$1:$I$89,3,0)*VLOOKUP('Données projet'!$B$12,Paramètres!$A$1:$I$89,5,0)</f>
        <v>196.64999999999989</v>
      </c>
      <c r="CA70" s="14">
        <f t="shared" si="93"/>
        <v>49.007216893605495</v>
      </c>
      <c r="CB70" s="22">
        <f t="shared" si="64"/>
        <v>427.85298608969606</v>
      </c>
      <c r="CC70" s="62">
        <f t="shared" si="65"/>
        <v>687.19045610035005</v>
      </c>
      <c r="CD70" s="62">
        <f ca="1">AVERAGE(OFFSET($CC$3,0,0,'Données projet'!$E$12+1,1))-AVERAGE(OFFSET($H$3,0,0,'Données projet'!$E$12+1,1))</f>
        <v>441.30518831297212</v>
      </c>
      <c r="CE70" s="62">
        <f t="shared" si="94"/>
        <v>270.42872405271851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60.728400911996552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3</v>
      </c>
      <c r="CT70" s="13">
        <f>IF('Données projet'!$A$140&gt;35,CT69+CS70-DB69,IF(A70&lt;'Données projet'!$A$140,$CQ$205^A70,IF(A70='Données projet'!$A$140,'Données projet'!$B$140,CT69+CS70-DB69)))</f>
        <v>199.99999999999989</v>
      </c>
      <c r="CU70" s="18">
        <f>CT70*VLOOKUP('Données projet'!$B$13,Paramètres!$A$1:$I$89,3,0)*VLOOKUP('Données projet'!$B$13,Paramètres!$A$1:$I$89,5,0)</f>
        <v>174.71999999999991</v>
      </c>
      <c r="CV70" s="14">
        <f t="shared" si="95"/>
        <v>44.145455754865203</v>
      </c>
      <c r="CW70" s="22">
        <f t="shared" si="67"/>
        <v>381.19066877305676</v>
      </c>
      <c r="CX70" s="62">
        <f t="shared" si="68"/>
        <v>640.5281387837108</v>
      </c>
      <c r="CY70" s="62">
        <f ca="1">AVERAGE(OFFSET($CX$3,0,0,'Données projet'!$E$13+1,1))-AVERAGE(OFFSET($H$3,0,0,'Données projet'!$E$13+1,1))</f>
        <v>310.81258463659196</v>
      </c>
      <c r="CZ70" s="62">
        <f t="shared" si="96"/>
        <v>287.31099756692083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60.728400911996552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3.8461538461538454</v>
      </c>
      <c r="DO70" s="13">
        <f>IF('Données projet'!$A$166&gt;35,DO69+DN70-DW69,IF(A70&lt;'Données projet'!$A$166,$DL$205^A70,IF(A70='Données projet'!$A$166,'Données projet'!$B$166,DO69+DN70-DW69)))</f>
        <v>182.69230769230759</v>
      </c>
      <c r="DP70" s="18">
        <f>DO70*VLOOKUP('Données projet'!$B$14,Paramètres!$A$1:$I$89,3,0)*VLOOKUP('Données projet'!$B$14,Paramètres!$A$1:$I$89,5,0)</f>
        <v>190.9499999999999</v>
      </c>
      <c r="DQ70" s="14">
        <f t="shared" si="97"/>
        <v>47.749923357177302</v>
      </c>
      <c r="DR70" s="22">
        <f t="shared" si="70"/>
        <v>415.73569984708359</v>
      </c>
      <c r="DS70" s="62">
        <f t="shared" si="71"/>
        <v>675.07316985773764</v>
      </c>
      <c r="DT70" s="62">
        <f ca="1">AVERAGE(OFFSET($DS$3,0,0,'Données projet'!$E$14+1,1))-AVERAGE(OFFSET($H$3,0,0,'Données projet'!$E$14+1,1))</f>
        <v>431.19274104373625</v>
      </c>
      <c r="DU70" s="62">
        <f t="shared" si="98"/>
        <v>264.67919175178133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60.728400911996552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9.6897435897435908</v>
      </c>
      <c r="EJ70" s="13">
        <f>IF('Données projet'!$A$192&gt;35,EJ69+EI70-ER69,IF(A70&lt;'Données projet'!$A$192,$EG$205^A70,IF(A70='Données projet'!$A$192,'Données projet'!$B$192,EJ69+EI70-ER69)))</f>
        <v>281.36666666666656</v>
      </c>
      <c r="EK70" s="18">
        <f>EJ70*VLOOKUP('Données projet'!$B$15,Paramètres!$A$1:$I$89,3,0)*VLOOKUP('Données projet'!$B$15,Paramètres!$A$1:$I$89,5,0)</f>
        <v>131.67959999999997</v>
      </c>
      <c r="EL70" s="14">
        <f t="shared" si="99"/>
        <v>34.38417513752983</v>
      </c>
      <c r="EM70" s="22">
        <f t="shared" si="73"/>
        <v>289.22774169786436</v>
      </c>
      <c r="EN70" s="62">
        <f t="shared" si="74"/>
        <v>548.56521170851829</v>
      </c>
      <c r="EO70" s="62">
        <f ca="1">AVERAGE(OFFSET($EN$3,0,0,'Données projet'!$E$15+1,1))-AVERAGE(OFFSET($H$3,0,0,'Données projet'!$E$15+1,1))</f>
        <v>291.68530745507815</v>
      </c>
      <c r="EP70" s="62">
        <f t="shared" si="100"/>
        <v>175.95121106728979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0</v>
      </c>
      <c r="EZ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60.728400911996552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3.8</v>
      </c>
      <c r="FE70" s="13">
        <f>IF('Données projet'!$A$218&gt;35,FE69+FD70-FM69,IF(A70&lt;'Données projet'!$A$218,$FB$205^A70,IF(A70='Données projet'!$A$218,'Données projet'!$B$218,FE69+FD70-FM69)))</f>
        <v>160.5999999999998</v>
      </c>
      <c r="FF70" s="18">
        <f>FE70*VLOOKUP('Données projet'!$B$16,Paramètres!$A$1:$I$89,3,0)*VLOOKUP('Données projet'!$B$16,Paramètres!$A$1:$I$89,5,0)</f>
        <v>105.22511999999986</v>
      </c>
      <c r="FG70" s="14">
        <f t="shared" si="101"/>
        <v>28.203096471199668</v>
      </c>
      <c r="FH70" s="22">
        <f t="shared" si="76"/>
        <v>232.38747702067249</v>
      </c>
      <c r="FI70" s="62">
        <f t="shared" si="77"/>
        <v>491.72494703132645</v>
      </c>
      <c r="FJ70" s="62">
        <f ca="1">AVERAGE(OFFSET($FI$3,0,0,'Données projet'!$E$16+1,1))-AVERAGE(OFFSET($H$3,0,0,'Données projet'!$E$16+1,1))</f>
        <v>248.75689726928428</v>
      </c>
      <c r="FK70" s="62">
        <f t="shared" si="102"/>
        <v>232.02291680388336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projet'!$B$16,Paramètres!$A$1:$I$89,3,0)*0.475*44/12</f>
        <v>0</v>
      </c>
      <c r="FR70" s="23">
        <f>EXP(-LN(2)/25)*FR69+(1-EXP(-LN(2)/25))/(LN(2)/25)*Calculateur!FM70*Calculateur!FO70*VLOOKUP('Données projet'!$B$16,Paramètres!$A$1:$I$89,3,0)*0.475*44/12</f>
        <v>0</v>
      </c>
      <c r="FS70" s="23">
        <f>EXP(-LN(2)/2)*FS69+(1-EXP(-LN(2)/2))/(LN(2)/2)*FM70*FP70*VLOOKUP('Données projet'!$B$16,Paramètres!$A$1:$I$89,3,0)*0.475*44/12</f>
        <v>0</v>
      </c>
      <c r="FT70" s="24">
        <f t="shared" si="78"/>
        <v>0</v>
      </c>
      <c r="FU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60.728400911996552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>
        <f>VLOOKUP(A70,'Données projet'!$A$243:$I$263,2,0)</f>
        <v>338</v>
      </c>
      <c r="FX70" s="13">
        <f>VLOOKUP(A70,'Données projet'!$A$243:$I$263,9,0)</f>
        <v>12.8</v>
      </c>
      <c r="FY70" s="13">
        <f t="array" ref="FY70">INDEX(FX:FX,MIN(IF(ISNUMBER(FX70:FX266),ROW(FX70:FX266),"")))</f>
        <v>12.8</v>
      </c>
      <c r="FZ70" s="13">
        <f>IF('Données projet'!$A$244&gt;35,FZ69+FY70-GH69,IF(A70&lt;'Données projet'!$A$244,$FW$205^A70,IF(A70='Données projet'!$A$244,'Données projet'!$B$244,FZ69+FY70-GH69)))</f>
        <v>338</v>
      </c>
      <c r="GA70" s="18">
        <f>FZ70*VLOOKUP('Données projet'!$B$17,Paramètres!$A$1:$I$89,3,0)*VLOOKUP('Données projet'!$B$17,Paramètres!$A$1:$I$89,5,0)</f>
        <v>202.12400000000002</v>
      </c>
      <c r="GB70" s="14">
        <f t="shared" si="103"/>
        <v>50.210671256169846</v>
      </c>
      <c r="GC70" s="22">
        <f t="shared" si="79"/>
        <v>439.48288577116256</v>
      </c>
      <c r="GD70" s="62">
        <f t="shared" si="80"/>
        <v>698.82035578181649</v>
      </c>
      <c r="GE70" s="62">
        <f ca="1">AVERAGE(OFFSET($GD$3,0,0,'Données projet'!$E$17+1,1))-AVERAGE(OFFSET($H$3,0,0,'Données projet'!$E$17+1,1))</f>
        <v>315.909549580511</v>
      </c>
      <c r="GF70" s="62">
        <f t="shared" si="104"/>
        <v>208.56856525402051</v>
      </c>
      <c r="GG70" s="16">
        <f>IF(ISNA(VLOOKUP(A70,'Données projet'!$A$243:$I$263,3,0)),0,VLOOKUP(A70,'Données projet'!$A$243:$I$263,3,0))</f>
        <v>5</v>
      </c>
      <c r="GH70" s="16">
        <f>IF(ISNA(VLOOKUP(A70,'Données projet'!$A$243:$I$263,4,0)),0,VLOOKUP(A70,'Données projet'!$A$243:$I$263,4,0))</f>
        <v>101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projet'!$B$17,Paramètres!$A$1:$I$89,3,0)*0.475*44/12</f>
        <v>0</v>
      </c>
      <c r="GM70" s="23">
        <f>EXP(-LN(2)/25)*GM69+(1-EXP(-LN(2)/25))/(LN(2)/25)*Calculateur!GH70*Calculateur!GJ70*VLOOKUP('Données projet'!$B$17,Paramètres!$A$1:$I$89,3,0)*0.475*44/12</f>
        <v>0</v>
      </c>
      <c r="GN70" s="23">
        <f>EXP(-LN(2)/2)*GN69+(1-EXP(-LN(2)/2))/(LN(2)/2)*GH70*GK70*VLOOKUP('Données projet'!$B$17,Paramètres!$A$1:$I$89,3,0)*0.475*44/12</f>
        <v>0</v>
      </c>
      <c r="GO70" s="23">
        <f t="shared" si="81"/>
        <v>0</v>
      </c>
      <c r="GP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60.728400911996552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3.4615384615384586</v>
      </c>
      <c r="GU70" s="13">
        <f>IF('Données projet'!$A$270&gt;35,GU69+GT70-HC69,IF(A70&lt;'Données projet'!$A$270,$GR$205^A70,IF(A70='Données projet'!$A$270,'Données projet'!$B$270,GU69+GT70-HC69)))</f>
        <v>150.51282051282058</v>
      </c>
      <c r="GV70" s="18">
        <f>GU70*VLOOKUP('Données projet'!$B$18,Paramètres!$A$1:$I$89,3,0)*VLOOKUP('Données projet'!$B$18,Paramètres!$A$1:$I$89,5,0)</f>
        <v>100.96400000000006</v>
      </c>
      <c r="GW70" s="14">
        <f t="shared" si="105"/>
        <v>27.191528864885804</v>
      </c>
      <c r="GX70" s="22">
        <f t="shared" si="82"/>
        <v>223.20421277300954</v>
      </c>
      <c r="GY70" s="62">
        <f t="shared" si="83"/>
        <v>482.54168278366353</v>
      </c>
      <c r="GZ70" s="62">
        <f ca="1">AVERAGE(OFFSET($GY$3,0,0,'Données projet'!$E$18+1,1))-AVERAGE(OFFSET($H$3,0,0,'Données projet'!$E$18+1,1))</f>
        <v>254.35742752782755</v>
      </c>
      <c r="HA70" s="62">
        <f t="shared" si="106"/>
        <v>171.79611712137395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>
        <f>EXP(-LN(2)/35)*HG69+(1-EXP(-LN(2)/35))/(LN(2)/35)*HC70*HD70*VLOOKUP('Données projet'!$B$18,Paramètres!$A$1:$I$89,3,0)*0.475*44/12</f>
        <v>0</v>
      </c>
      <c r="HH70" s="23">
        <f>EXP(-LN(2)/25)*HH69+(1-EXP(-LN(2)/25))/(LN(2)/25)*Calculateur!HC70*Calculateur!HE70*VLOOKUP('Données projet'!$B$18,Paramètres!$A$1:$I$89,3,0)*0.475*44/12</f>
        <v>0</v>
      </c>
      <c r="HI70" s="23">
        <f>EXP(-LN(2)/2)*HI69+(1-EXP(-LN(2)/2))/(LN(2)/2)*HC70*HF70*VLOOKUP('Données projet'!$B$18,Paramètres!$A$1:$I$89,3,0)*0.475*44/12</f>
        <v>0</v>
      </c>
      <c r="HJ70" s="24">
        <f t="shared" si="84"/>
        <v>0</v>
      </c>
    </row>
    <row r="71" spans="1:218" s="5" customFormat="1" x14ac:dyDescent="0.3">
      <c r="A71" s="11">
        <f t="shared" si="85"/>
        <v>68</v>
      </c>
      <c r="B71" s="76">
        <f>'Scénario référence'!$B$16*5+'Scénario référence'!$B$17*0+'Scénario référence'!$B$18*5</f>
        <v>3.9405000000000001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14.448500000000001</v>
      </c>
      <c r="H71" s="69">
        <f t="shared" si="56"/>
        <v>161.30656666666667</v>
      </c>
      <c r="I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60.889242427983163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5.3778846153846125</v>
      </c>
      <c r="N71" s="14">
        <f>IF('Données projet'!$A$36&gt;35,N70+M71-V70,IF(A71&lt;'Données projet'!$A$36,$K$205^A71,IF(A71='Données projet'!$A$36,'Données projet'!$B$36,N70+M71-V70)))</f>
        <v>195.15576923076929</v>
      </c>
      <c r="O71" s="14">
        <f>N71*VLOOKUP('Données projet'!$B$9,Paramètres!$A$1:$I$89,3,0)*VLOOKUP('Données projet'!$B$9,Paramètres!$A$1:$I$89,5,0)</f>
        <v>114.16612500000004</v>
      </c>
      <c r="P71" s="14">
        <f t="shared" si="87"/>
        <v>30.310422376920027</v>
      </c>
      <c r="Q71" s="22">
        <f t="shared" si="54"/>
        <v>251.62998668146909</v>
      </c>
      <c r="R71" s="62">
        <f t="shared" si="55"/>
        <v>511.55720891740737</v>
      </c>
      <c r="S71" s="62">
        <f ca="1">AVERAGE(OFFSET($R$3,0,0,'Données projet'!$E$9+1,1))-AVERAGE(OFFSET($H$3,0,0,'Données projet'!$E$9+1,1))</f>
        <v>210.54472399593521</v>
      </c>
      <c r="T71" s="62">
        <f t="shared" si="88"/>
        <v>181.14158435194193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60.889242427983163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2.5199999999999934</v>
      </c>
      <c r="AI71" s="14">
        <f>IF('Données projet'!$A$62&gt;35,AI70+AH71-AQ70,IF(A71&lt;'Données projet'!$A$62,$AF$205^A71,IF(A71='Données projet'!$A$62,'Données projet'!$B$62,AI70+AH71-AQ70)))</f>
        <v>261.85999999999996</v>
      </c>
      <c r="AJ71" s="14">
        <f>AI71*VLOOKUP('Données projet'!$B$10,Paramètres!$A$1:$I$89,3,0)*VLOOKUP('Données projet'!$B$10,Paramètres!$A$1:$I$89,5,0)</f>
        <v>136.16719999999998</v>
      </c>
      <c r="AK71" s="14">
        <f t="shared" si="89"/>
        <v>35.417551347869569</v>
      </c>
      <c r="AL71" s="22">
        <f t="shared" si="58"/>
        <v>298.84344193087276</v>
      </c>
      <c r="AM71" s="62">
        <f t="shared" si="59"/>
        <v>558.770664166811</v>
      </c>
      <c r="AN71" s="62">
        <f ca="1">AVERAGE(OFFSET($AM$3,0,0,'Données projet'!$E$10+1,1))-AVERAGE(OFFSET($H$3,0,0,'Données projet'!$E$10+1,1))</f>
        <v>289.05608923588198</v>
      </c>
      <c r="AO71" s="62">
        <f t="shared" si="90"/>
        <v>220.06639020312738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60.889242427983163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1.6750000000000014</v>
      </c>
      <c r="BD71" s="13">
        <f>IF('Données projet'!$A$88&gt;35,BD70+BC71-BL70,IF(A71&lt;'Données projet'!$A$88,$BA$205^A71,IF(A71='Données projet'!$A$88,'Données projet'!$B$88,BD70+BC71-BL70)))</f>
        <v>89.512499999999946</v>
      </c>
      <c r="BE71" s="14">
        <f>BD71*VLOOKUP('Données projet'!$B$11,Paramètres!$A$1:$I$89,3,0)*VLOOKUP('Données projet'!$B$11,Paramètres!$A$1:$I$89,5,0)</f>
        <v>103.11839999999994</v>
      </c>
      <c r="BF71" s="14">
        <f t="shared" si="91"/>
        <v>27.703580415769611</v>
      </c>
      <c r="BG71" s="22">
        <f t="shared" si="61"/>
        <v>227.8482825574653</v>
      </c>
      <c r="BH71" s="62">
        <f t="shared" si="62"/>
        <v>487.77550479340357</v>
      </c>
      <c r="BI71" s="62">
        <f ca="1">AVERAGE(OFFSET($BH$3,0,0,'Données projet'!$E$11+1,1))-AVERAGE(OFFSET($H$3,0,0,'Données projet'!$E$11+1,1))</f>
        <v>299.54950406029354</v>
      </c>
      <c r="BJ71" s="62">
        <f t="shared" si="92"/>
        <v>208.26364698165739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60.889242427983163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3.8461538461538454</v>
      </c>
      <c r="BY71" s="13">
        <f>IF('Données projet'!$A$114&gt;35,BY70+BX71-CG70,IF(A71&lt;'Données projet'!$A$114,$BV$205^A71,IF(A71='Données projet'!$A$114,'Données projet'!$B$114,BY70+BX71-CG70)))</f>
        <v>186.53846153846143</v>
      </c>
      <c r="BZ71" s="14">
        <f>BY71*VLOOKUP('Données projet'!$B$12,Paramètres!$A$1:$I$89,3,0)*VLOOKUP('Données projet'!$B$12,Paramètres!$A$1:$I$89,5,0)</f>
        <v>200.78999999999985</v>
      </c>
      <c r="CA71" s="14">
        <f t="shared" si="93"/>
        <v>49.917745959946103</v>
      </c>
      <c r="CB71" s="22">
        <f t="shared" si="64"/>
        <v>436.64932421357253</v>
      </c>
      <c r="CC71" s="62">
        <f t="shared" si="65"/>
        <v>696.57654644951072</v>
      </c>
      <c r="CD71" s="62">
        <f ca="1">AVERAGE(OFFSET($CC$3,0,0,'Données projet'!$E$12+1,1))-AVERAGE(OFFSET($H$3,0,0,'Données projet'!$E$12+1,1))</f>
        <v>441.30518831297212</v>
      </c>
      <c r="CE71" s="62">
        <f t="shared" si="94"/>
        <v>270.42872405271851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60.889242427983163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3</v>
      </c>
      <c r="CT71" s="13">
        <f>IF('Données projet'!$A$140&gt;35,CT70+CS71-DB70,IF(A71&lt;'Données projet'!$A$140,$CQ$205^A71,IF(A71='Données projet'!$A$140,'Données projet'!$B$140,CT70+CS71-DB70)))</f>
        <v>202.99999999999989</v>
      </c>
      <c r="CU71" s="18">
        <f>CT71*VLOOKUP('Données projet'!$B$13,Paramètres!$A$1:$I$89,3,0)*VLOOKUP('Données projet'!$B$13,Paramètres!$A$1:$I$89,5,0)</f>
        <v>177.34079999999992</v>
      </c>
      <c r="CV71" s="14">
        <f t="shared" si="95"/>
        <v>44.73005165860306</v>
      </c>
      <c r="CW71" s="22">
        <f t="shared" si="67"/>
        <v>386.7733999720669</v>
      </c>
      <c r="CX71" s="62">
        <f t="shared" si="68"/>
        <v>646.70062220800514</v>
      </c>
      <c r="CY71" s="62">
        <f ca="1">AVERAGE(OFFSET($CX$3,0,0,'Données projet'!$E$13+1,1))-AVERAGE(OFFSET($H$3,0,0,'Données projet'!$E$13+1,1))</f>
        <v>310.81258463659196</v>
      </c>
      <c r="CZ71" s="62">
        <f t="shared" si="96"/>
        <v>287.31099756692083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60.889242427983163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3.8461538461538454</v>
      </c>
      <c r="DO71" s="13">
        <f>IF('Données projet'!$A$166&gt;35,DO70+DN71-DW70,IF(A71&lt;'Données projet'!$A$166,$DL$205^A71,IF(A71='Données projet'!$A$166,'Données projet'!$B$166,DO70+DN71-DW70)))</f>
        <v>186.53846153846143</v>
      </c>
      <c r="DP71" s="18">
        <f>DO71*VLOOKUP('Données projet'!$B$14,Paramètres!$A$1:$I$89,3,0)*VLOOKUP('Données projet'!$B$14,Paramètres!$A$1:$I$89,5,0)</f>
        <v>194.96999999999991</v>
      </c>
      <c r="DQ71" s="14">
        <f t="shared" si="97"/>
        <v>48.637092551596893</v>
      </c>
      <c r="DR71" s="22">
        <f t="shared" si="70"/>
        <v>424.28235286069776</v>
      </c>
      <c r="DS71" s="62">
        <f t="shared" si="71"/>
        <v>684.20957509663594</v>
      </c>
      <c r="DT71" s="62">
        <f ca="1">AVERAGE(OFFSET($DS$3,0,0,'Données projet'!$E$14+1,1))-AVERAGE(OFFSET($H$3,0,0,'Données projet'!$E$14+1,1))</f>
        <v>431.19274104373625</v>
      </c>
      <c r="DU71" s="62">
        <f t="shared" si="98"/>
        <v>264.67919175178133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60.889242427983163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9.6897435897435908</v>
      </c>
      <c r="EJ71" s="13">
        <f>IF('Données projet'!$A$192&gt;35,EJ70+EI71-ER70,IF(A71&lt;'Données projet'!$A$192,$EG$205^A71,IF(A71='Données projet'!$A$192,'Données projet'!$B$192,EJ70+EI71-ER70)))</f>
        <v>291.05641025641017</v>
      </c>
      <c r="EK71" s="18">
        <f>EJ71*VLOOKUP('Données projet'!$B$15,Paramètres!$A$1:$I$89,3,0)*VLOOKUP('Données projet'!$B$15,Paramètres!$A$1:$I$89,5,0)</f>
        <v>136.21439999999996</v>
      </c>
      <c r="EL71" s="14">
        <f t="shared" si="99"/>
        <v>35.428398980540805</v>
      </c>
      <c r="EM71" s="22">
        <f t="shared" si="73"/>
        <v>298.94454155777515</v>
      </c>
      <c r="EN71" s="62">
        <f t="shared" si="74"/>
        <v>558.8717637937134</v>
      </c>
      <c r="EO71" s="62">
        <f ca="1">AVERAGE(OFFSET($EN$3,0,0,'Données projet'!$E$15+1,1))-AVERAGE(OFFSET($H$3,0,0,'Données projet'!$E$15+1,1))</f>
        <v>291.68530745507815</v>
      </c>
      <c r="EP71" s="62">
        <f t="shared" si="100"/>
        <v>175.95121106728979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0</v>
      </c>
      <c r="EZ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60.889242427983163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3.8</v>
      </c>
      <c r="FE71" s="13">
        <f>IF('Données projet'!$A$218&gt;35,FE70+FD71-FM70,IF(A71&lt;'Données projet'!$A$218,$FB$205^A71,IF(A71='Données projet'!$A$218,'Données projet'!$B$218,FE70+FD71-FM70)))</f>
        <v>164.39999999999981</v>
      </c>
      <c r="FF71" s="18">
        <f>FE71*VLOOKUP('Données projet'!$B$16,Paramètres!$A$1:$I$89,3,0)*VLOOKUP('Données projet'!$B$16,Paramètres!$A$1:$I$89,5,0)</f>
        <v>107.71487999999988</v>
      </c>
      <c r="FG71" s="14">
        <f t="shared" si="101"/>
        <v>28.791936453559583</v>
      </c>
      <c r="FH71" s="22">
        <f t="shared" si="76"/>
        <v>237.74937198994937</v>
      </c>
      <c r="FI71" s="62">
        <f t="shared" si="77"/>
        <v>497.67659422588758</v>
      </c>
      <c r="FJ71" s="62">
        <f ca="1">AVERAGE(OFFSET($FI$3,0,0,'Données projet'!$E$16+1,1))-AVERAGE(OFFSET($H$3,0,0,'Données projet'!$E$16+1,1))</f>
        <v>248.75689726928428</v>
      </c>
      <c r="FK71" s="62">
        <f t="shared" si="102"/>
        <v>232.02291680388336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projet'!$B$16,Paramètres!$A$1:$I$89,3,0)*0.475*44/12</f>
        <v>0</v>
      </c>
      <c r="FR71" s="23">
        <f>EXP(-LN(2)/25)*FR70+(1-EXP(-LN(2)/25))/(LN(2)/25)*Calculateur!FM71*Calculateur!FO71*VLOOKUP('Données projet'!$B$16,Paramètres!$A$1:$I$89,3,0)*0.475*44/12</f>
        <v>0</v>
      </c>
      <c r="FS71" s="23">
        <f>EXP(-LN(2)/2)*FS70+(1-EXP(-LN(2)/2))/(LN(2)/2)*FM71*FP71*VLOOKUP('Données projet'!$B$16,Paramètres!$A$1:$I$89,3,0)*0.475*44/12</f>
        <v>0</v>
      </c>
      <c r="FT71" s="24">
        <f t="shared" si="78"/>
        <v>0</v>
      </c>
      <c r="FU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60.889242427983163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11.727272727272727</v>
      </c>
      <c r="FZ71" s="13">
        <f>IF('Données projet'!$A$244&gt;35,FZ70+FY71-GH70,IF(A71&lt;'Données projet'!$A$244,$FW$205^A71,IF(A71='Données projet'!$A$244,'Données projet'!$B$244,FZ70+FY71-GH70)))</f>
        <v>248.72727272727275</v>
      </c>
      <c r="GA71" s="18">
        <f>FZ71*VLOOKUP('Données projet'!$B$17,Paramètres!$A$1:$I$89,3,0)*VLOOKUP('Données projet'!$B$17,Paramètres!$A$1:$I$89,5,0)</f>
        <v>148.73890909090912</v>
      </c>
      <c r="GB71" s="14">
        <f t="shared" si="103"/>
        <v>38.291857517656723</v>
      </c>
      <c r="GC71" s="22">
        <f t="shared" si="79"/>
        <v>325.74525184325216</v>
      </c>
      <c r="GD71" s="62">
        <f t="shared" si="80"/>
        <v>585.67247407919035</v>
      </c>
      <c r="GE71" s="62">
        <f ca="1">AVERAGE(OFFSET($GD$3,0,0,'Données projet'!$E$17+1,1))-AVERAGE(OFFSET($H$3,0,0,'Données projet'!$E$17+1,1))</f>
        <v>315.909549580511</v>
      </c>
      <c r="GF71" s="62">
        <f t="shared" si="104"/>
        <v>208.56856525402051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projet'!$B$17,Paramètres!$A$1:$I$89,3,0)*0.475*44/12</f>
        <v>0</v>
      </c>
      <c r="GM71" s="23">
        <f>EXP(-LN(2)/25)*GM70+(1-EXP(-LN(2)/25))/(LN(2)/25)*Calculateur!GH71*Calculateur!GJ71*VLOOKUP('Données projet'!$B$17,Paramètres!$A$1:$I$89,3,0)*0.475*44/12</f>
        <v>0</v>
      </c>
      <c r="GN71" s="23">
        <f>EXP(-LN(2)/2)*GN70+(1-EXP(-LN(2)/2))/(LN(2)/2)*GH71*GK71*VLOOKUP('Données projet'!$B$17,Paramètres!$A$1:$I$89,3,0)*0.475*44/12</f>
        <v>0</v>
      </c>
      <c r="GO71" s="23">
        <f t="shared" si="81"/>
        <v>0</v>
      </c>
      <c r="GP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60.889242427983163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3.4615384615384586</v>
      </c>
      <c r="GU71" s="13">
        <f>IF('Données projet'!$A$270&gt;35,GU70+GT71-HC70,IF(A71&lt;'Données projet'!$A$270,$GR$205^A71,IF(A71='Données projet'!$A$270,'Données projet'!$B$270,GU70+GT71-HC70)))</f>
        <v>153.97435897435903</v>
      </c>
      <c r="GV71" s="18">
        <f>GU71*VLOOKUP('Données projet'!$B$18,Paramètres!$A$1:$I$89,3,0)*VLOOKUP('Données projet'!$B$18,Paramètres!$A$1:$I$89,5,0)</f>
        <v>103.28600000000004</v>
      </c>
      <c r="GW71" s="14">
        <f t="shared" si="105"/>
        <v>27.743362579287734</v>
      </c>
      <c r="GX71" s="22">
        <f t="shared" si="82"/>
        <v>228.20947315892622</v>
      </c>
      <c r="GY71" s="62">
        <f t="shared" si="83"/>
        <v>488.13669539486443</v>
      </c>
      <c r="GZ71" s="62">
        <f ca="1">AVERAGE(OFFSET($GY$3,0,0,'Données projet'!$E$18+1,1))-AVERAGE(OFFSET($H$3,0,0,'Données projet'!$E$18+1,1))</f>
        <v>254.35742752782755</v>
      </c>
      <c r="HA71" s="62">
        <f t="shared" si="106"/>
        <v>171.79611712137395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>
        <f>EXP(-LN(2)/35)*HG70+(1-EXP(-LN(2)/35))/(LN(2)/35)*HC71*HD71*VLOOKUP('Données projet'!$B$18,Paramètres!$A$1:$I$89,3,0)*0.475*44/12</f>
        <v>0</v>
      </c>
      <c r="HH71" s="23">
        <f>EXP(-LN(2)/25)*HH70+(1-EXP(-LN(2)/25))/(LN(2)/25)*Calculateur!HC71*Calculateur!HE71*VLOOKUP('Données projet'!$B$18,Paramètres!$A$1:$I$89,3,0)*0.475*44/12</f>
        <v>0</v>
      </c>
      <c r="HI71" s="23">
        <f>EXP(-LN(2)/2)*HI70+(1-EXP(-LN(2)/2))/(LN(2)/2)*HC71*HF71*VLOOKUP('Données projet'!$B$18,Paramètres!$A$1:$I$89,3,0)*0.475*44/12</f>
        <v>0</v>
      </c>
      <c r="HJ71" s="24">
        <f t="shared" si="84"/>
        <v>0</v>
      </c>
    </row>
    <row r="72" spans="1:218" s="5" customFormat="1" x14ac:dyDescent="0.3">
      <c r="A72" s="11">
        <f t="shared" si="85"/>
        <v>69</v>
      </c>
      <c r="B72" s="76">
        <f>'Scénario référence'!$B$16*5+'Scénario référence'!$B$17*0+'Scénario référence'!$B$18*5</f>
        <v>3.9405000000000001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14.448500000000001</v>
      </c>
      <c r="H72" s="69">
        <f t="shared" si="56"/>
        <v>161.30656666666667</v>
      </c>
      <c r="I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61.047293703255157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5.3778846153846125</v>
      </c>
      <c r="N72" s="14">
        <f>IF('Données projet'!$A$36&gt;35,N71+M72-V71,IF(A72&lt;'Données projet'!$A$36,$K$205^A72,IF(A72='Données projet'!$A$36,'Données projet'!$B$36,N71+M72-V71)))</f>
        <v>200.5336538461539</v>
      </c>
      <c r="O72" s="14">
        <f>N72*VLOOKUP('Données projet'!$B$9,Paramètres!$A$1:$I$89,3,0)*VLOOKUP('Données projet'!$B$9,Paramètres!$A$1:$I$89,5,0)</f>
        <v>117.31218750000004</v>
      </c>
      <c r="P72" s="14">
        <f t="shared" si="87"/>
        <v>31.047287069448931</v>
      </c>
      <c r="Q72" s="22">
        <f t="shared" si="54"/>
        <v>258.39275154179029</v>
      </c>
      <c r="R72" s="62">
        <f t="shared" si="55"/>
        <v>518.89949512039243</v>
      </c>
      <c r="S72" s="62">
        <f ca="1">AVERAGE(OFFSET($R$3,0,0,'Données projet'!$E$9+1,1))-AVERAGE(OFFSET($H$3,0,0,'Données projet'!$E$9+1,1))</f>
        <v>210.54472399593521</v>
      </c>
      <c r="T72" s="62">
        <f t="shared" si="88"/>
        <v>181.14158435194193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61.047293703255157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2.5199999999999934</v>
      </c>
      <c r="AI72" s="14">
        <f>IF('Données projet'!$A$62&gt;35,AI71+AH72-AQ71,IF(A72&lt;'Données projet'!$A$62,$AF$205^A72,IF(A72='Données projet'!$A$62,'Données projet'!$B$62,AI71+AH72-AQ71)))</f>
        <v>264.37999999999994</v>
      </c>
      <c r="AJ72" s="14">
        <f>AI72*VLOOKUP('Données projet'!$B$10,Paramètres!$A$1:$I$89,3,0)*VLOOKUP('Données projet'!$B$10,Paramètres!$A$1:$I$89,5,0)</f>
        <v>137.47759999999997</v>
      </c>
      <c r="AK72" s="14">
        <f t="shared" si="89"/>
        <v>35.71854904549317</v>
      </c>
      <c r="AL72" s="22">
        <f t="shared" si="58"/>
        <v>301.64995958756725</v>
      </c>
      <c r="AM72" s="62">
        <f t="shared" si="59"/>
        <v>562.15670316616945</v>
      </c>
      <c r="AN72" s="62">
        <f ca="1">AVERAGE(OFFSET($AM$3,0,0,'Données projet'!$E$10+1,1))-AVERAGE(OFFSET($H$3,0,0,'Données projet'!$E$10+1,1))</f>
        <v>289.05608923588198</v>
      </c>
      <c r="AO72" s="62">
        <f t="shared" si="90"/>
        <v>220.06639020312738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61.047293703255157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1.6750000000000014</v>
      </c>
      <c r="BD72" s="13">
        <f>IF('Données projet'!$A$88&gt;35,BD71+BC72-BL71,IF(A72&lt;'Données projet'!$A$88,$BA$205^A72,IF(A72='Données projet'!$A$88,'Données projet'!$B$88,BD71+BC72-BL71)))</f>
        <v>91.187499999999943</v>
      </c>
      <c r="BE72" s="14">
        <f>BD72*VLOOKUP('Données projet'!$B$11,Paramètres!$A$1:$I$89,3,0)*VLOOKUP('Données projet'!$B$11,Paramètres!$A$1:$I$89,5,0)</f>
        <v>105.04799999999992</v>
      </c>
      <c r="BF72" s="14">
        <f t="shared" si="91"/>
        <v>28.161145381699356</v>
      </c>
      <c r="BG72" s="22">
        <f t="shared" si="61"/>
        <v>232.00592820645954</v>
      </c>
      <c r="BH72" s="62">
        <f t="shared" si="62"/>
        <v>492.51267178506174</v>
      </c>
      <c r="BI72" s="62">
        <f ca="1">AVERAGE(OFFSET($BH$3,0,0,'Données projet'!$E$11+1,1))-AVERAGE(OFFSET($H$3,0,0,'Données projet'!$E$11+1,1))</f>
        <v>299.54950406029354</v>
      </c>
      <c r="BJ72" s="62">
        <f t="shared" si="92"/>
        <v>208.26364698165739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61.047293703255157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3.8461538461538454</v>
      </c>
      <c r="BY72" s="13">
        <f>IF('Données projet'!$A$114&gt;35,BY71+BX72-CG71,IF(A72&lt;'Données projet'!$A$114,$BV$205^A72,IF(A72='Données projet'!$A$114,'Données projet'!$B$114,BY71+BX72-CG71)))</f>
        <v>190.38461538461527</v>
      </c>
      <c r="BZ72" s="14">
        <f>BY72*VLOOKUP('Données projet'!$B$12,Paramètres!$A$1:$I$89,3,0)*VLOOKUP('Données projet'!$B$12,Paramètres!$A$1:$I$89,5,0)</f>
        <v>204.92999999999986</v>
      </c>
      <c r="CA72" s="14">
        <f t="shared" si="93"/>
        <v>50.826092213271387</v>
      </c>
      <c r="CB72" s="22">
        <f t="shared" si="64"/>
        <v>445.44186060478069</v>
      </c>
      <c r="CC72" s="62">
        <f t="shared" si="65"/>
        <v>705.94860418338294</v>
      </c>
      <c r="CD72" s="62">
        <f ca="1">AVERAGE(OFFSET($CC$3,0,0,'Données projet'!$E$12+1,1))-AVERAGE(OFFSET($H$3,0,0,'Données projet'!$E$12+1,1))</f>
        <v>441.30518831297212</v>
      </c>
      <c r="CE72" s="62">
        <f t="shared" si="94"/>
        <v>270.42872405271851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61.047293703255157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3</v>
      </c>
      <c r="CT72" s="13">
        <f>IF('Données projet'!$A$140&gt;35,CT71+CS72-DB71,IF(A72&lt;'Données projet'!$A$140,$CQ$205^A72,IF(A72='Données projet'!$A$140,'Données projet'!$B$140,CT71+CS72-DB71)))</f>
        <v>205.99999999999989</v>
      </c>
      <c r="CU72" s="18">
        <f>CT72*VLOOKUP('Données projet'!$B$13,Paramètres!$A$1:$I$89,3,0)*VLOOKUP('Données projet'!$B$13,Paramètres!$A$1:$I$89,5,0)</f>
        <v>179.96159999999992</v>
      </c>
      <c r="CV72" s="14">
        <f t="shared" si="95"/>
        <v>45.313642767960104</v>
      </c>
      <c r="CW72" s="22">
        <f t="shared" si="67"/>
        <v>392.35438115419703</v>
      </c>
      <c r="CX72" s="62">
        <f t="shared" si="68"/>
        <v>652.86112473279923</v>
      </c>
      <c r="CY72" s="62">
        <f ca="1">AVERAGE(OFFSET($CX$3,0,0,'Données projet'!$E$13+1,1))-AVERAGE(OFFSET($H$3,0,0,'Données projet'!$E$13+1,1))</f>
        <v>310.81258463659196</v>
      </c>
      <c r="CZ72" s="62">
        <f t="shared" si="96"/>
        <v>287.31099756692083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61.047293703255157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3.8461538461538454</v>
      </c>
      <c r="DO72" s="13">
        <f>IF('Données projet'!$A$166&gt;35,DO71+DN72-DW71,IF(A72&lt;'Données projet'!$A$166,$DL$205^A72,IF(A72='Données projet'!$A$166,'Données projet'!$B$166,DO71+DN72-DW71)))</f>
        <v>190.38461538461527</v>
      </c>
      <c r="DP72" s="18">
        <f>DO72*VLOOKUP('Données projet'!$B$14,Paramètres!$A$1:$I$89,3,0)*VLOOKUP('Données projet'!$B$14,Paramètres!$A$1:$I$89,5,0)</f>
        <v>198.9899999999999</v>
      </c>
      <c r="DQ72" s="14">
        <f t="shared" si="97"/>
        <v>49.522134933665335</v>
      </c>
      <c r="DR72" s="22">
        <f t="shared" si="70"/>
        <v>432.82530167613362</v>
      </c>
      <c r="DS72" s="62">
        <f t="shared" si="71"/>
        <v>693.33204525473582</v>
      </c>
      <c r="DT72" s="62">
        <f ca="1">AVERAGE(OFFSET($DS$3,0,0,'Données projet'!$E$14+1,1))-AVERAGE(OFFSET($H$3,0,0,'Données projet'!$E$14+1,1))</f>
        <v>431.19274104373625</v>
      </c>
      <c r="DU72" s="62">
        <f t="shared" si="98"/>
        <v>264.67919175178133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61.047293703255157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>
        <f>VLOOKUP(A72,'Données projet'!$A$191:$I$211,2,0)</f>
        <v>300.74615384615385</v>
      </c>
      <c r="EH72" s="13">
        <f>VLOOKUP(A72,'Données projet'!$A$191:$I$211,9,0)</f>
        <v>9.6897435897435908</v>
      </c>
      <c r="EI72" s="13">
        <f t="array" ref="EI72">INDEX(EH:EH,MIN(IF(ISNUMBER(EH72:EH268),ROW(EH72:EH268),"")))</f>
        <v>9.6897435897435908</v>
      </c>
      <c r="EJ72" s="13">
        <f>IF('Données projet'!$A$192&gt;35,EJ71+EI72-ER71,IF(A72&lt;'Données projet'!$A$192,$EG$205^A72,IF(A72='Données projet'!$A$192,'Données projet'!$B$192,EJ71+EI72-ER71)))</f>
        <v>300.74615384615379</v>
      </c>
      <c r="EK72" s="18">
        <f>EJ72*VLOOKUP('Données projet'!$B$15,Paramètres!$A$1:$I$89,3,0)*VLOOKUP('Données projet'!$B$15,Paramètres!$A$1:$I$89,5,0)</f>
        <v>140.74919999999997</v>
      </c>
      <c r="EL72" s="14">
        <f t="shared" si="99"/>
        <v>36.468583345471806</v>
      </c>
      <c r="EM72" s="22">
        <f t="shared" si="73"/>
        <v>308.65430599336338</v>
      </c>
      <c r="EN72" s="62">
        <f t="shared" si="74"/>
        <v>569.16104957196558</v>
      </c>
      <c r="EO72" s="62">
        <f ca="1">AVERAGE(OFFSET($EN$3,0,0,'Données projet'!$E$15+1,1))-AVERAGE(OFFSET($H$3,0,0,'Données projet'!$E$15+1,1))</f>
        <v>291.68530745507815</v>
      </c>
      <c r="EP72" s="62">
        <f t="shared" si="100"/>
        <v>175.95121106728979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0</v>
      </c>
      <c r="EZ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61.047293703255157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3.8</v>
      </c>
      <c r="FE72" s="13">
        <f>IF('Données projet'!$A$218&gt;35,FE71+FD72-FM71,IF(A72&lt;'Données projet'!$A$218,$FB$205^A72,IF(A72='Données projet'!$A$218,'Données projet'!$B$218,FE71+FD72-FM71)))</f>
        <v>168.19999999999982</v>
      </c>
      <c r="FF72" s="18">
        <f>FE72*VLOOKUP('Données projet'!$B$16,Paramètres!$A$1:$I$89,3,0)*VLOOKUP('Données projet'!$B$16,Paramètres!$A$1:$I$89,5,0)</f>
        <v>110.20463999999988</v>
      </c>
      <c r="FG72" s="14">
        <f t="shared" si="101"/>
        <v>29.379194135935805</v>
      </c>
      <c r="FH72" s="22">
        <f t="shared" si="76"/>
        <v>243.10851112008797</v>
      </c>
      <c r="FI72" s="62">
        <f t="shared" si="77"/>
        <v>503.61525469869014</v>
      </c>
      <c r="FJ72" s="62">
        <f ca="1">AVERAGE(OFFSET($FI$3,0,0,'Données projet'!$E$16+1,1))-AVERAGE(OFFSET($H$3,0,0,'Données projet'!$E$16+1,1))</f>
        <v>248.75689726928428</v>
      </c>
      <c r="FK72" s="62">
        <f t="shared" si="102"/>
        <v>232.02291680388336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projet'!$B$16,Paramètres!$A$1:$I$89,3,0)*0.475*44/12</f>
        <v>0</v>
      </c>
      <c r="FR72" s="23">
        <f>EXP(-LN(2)/25)*FR71+(1-EXP(-LN(2)/25))/(LN(2)/25)*Calculateur!FM72*Calculateur!FO72*VLOOKUP('Données projet'!$B$16,Paramètres!$A$1:$I$89,3,0)*0.475*44/12</f>
        <v>0</v>
      </c>
      <c r="FS72" s="23">
        <f>EXP(-LN(2)/2)*FS71+(1-EXP(-LN(2)/2))/(LN(2)/2)*FM72*FP72*VLOOKUP('Données projet'!$B$16,Paramètres!$A$1:$I$89,3,0)*0.475*44/12</f>
        <v>0</v>
      </c>
      <c r="FT72" s="24">
        <f t="shared" si="78"/>
        <v>0</v>
      </c>
      <c r="FU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61.047293703255157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11.727272727272727</v>
      </c>
      <c r="FZ72" s="13">
        <f>IF('Données projet'!$A$244&gt;35,FZ71+FY72-GH71,IF(A72&lt;'Données projet'!$A$244,$FW$205^A72,IF(A72='Données projet'!$A$244,'Données projet'!$B$244,FZ71+FY72-GH71)))</f>
        <v>260.4545454545455</v>
      </c>
      <c r="GA72" s="18">
        <f>FZ72*VLOOKUP('Données projet'!$B$17,Paramètres!$A$1:$I$89,3,0)*VLOOKUP('Données projet'!$B$17,Paramètres!$A$1:$I$89,5,0)</f>
        <v>155.75181818181821</v>
      </c>
      <c r="GB72" s="14">
        <f t="shared" si="103"/>
        <v>39.882830633693523</v>
      </c>
      <c r="GC72" s="22">
        <f t="shared" si="79"/>
        <v>340.73034668701627</v>
      </c>
      <c r="GD72" s="62">
        <f t="shared" si="80"/>
        <v>601.23709026561846</v>
      </c>
      <c r="GE72" s="62">
        <f ca="1">AVERAGE(OFFSET($GD$3,0,0,'Données projet'!$E$17+1,1))-AVERAGE(OFFSET($H$3,0,0,'Données projet'!$E$17+1,1))</f>
        <v>315.909549580511</v>
      </c>
      <c r="GF72" s="62">
        <f t="shared" si="104"/>
        <v>208.56856525402051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projet'!$B$17,Paramètres!$A$1:$I$89,3,0)*0.475*44/12</f>
        <v>0</v>
      </c>
      <c r="GM72" s="23">
        <f>EXP(-LN(2)/25)*GM71+(1-EXP(-LN(2)/25))/(LN(2)/25)*Calculateur!GH72*Calculateur!GJ72*VLOOKUP('Données projet'!$B$17,Paramètres!$A$1:$I$89,3,0)*0.475*44/12</f>
        <v>0</v>
      </c>
      <c r="GN72" s="23">
        <f>EXP(-LN(2)/2)*GN71+(1-EXP(-LN(2)/2))/(LN(2)/2)*GH72*GK72*VLOOKUP('Données projet'!$B$17,Paramètres!$A$1:$I$89,3,0)*0.475*44/12</f>
        <v>0</v>
      </c>
      <c r="GO72" s="23">
        <f t="shared" si="81"/>
        <v>0</v>
      </c>
      <c r="GP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61.047293703255157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3.4615384615384586</v>
      </c>
      <c r="GU72" s="13">
        <f>IF('Données projet'!$A$270&gt;35,GU71+GT72-HC71,IF(A72&lt;'Données projet'!$A$270,$GR$205^A72,IF(A72='Données projet'!$A$270,'Données projet'!$B$270,GU71+GT72-HC71)))</f>
        <v>157.43589743589749</v>
      </c>
      <c r="GV72" s="18">
        <f>GU72*VLOOKUP('Données projet'!$B$18,Paramètres!$A$1:$I$89,3,0)*VLOOKUP('Données projet'!$B$18,Paramètres!$A$1:$I$89,5,0)</f>
        <v>105.60800000000005</v>
      </c>
      <c r="GW72" s="14">
        <f t="shared" si="105"/>
        <v>28.293754003917734</v>
      </c>
      <c r="GX72" s="22">
        <f t="shared" si="82"/>
        <v>233.21222155682344</v>
      </c>
      <c r="GY72" s="62">
        <f t="shared" si="83"/>
        <v>493.71896513542561</v>
      </c>
      <c r="GZ72" s="62">
        <f ca="1">AVERAGE(OFFSET($GY$3,0,0,'Données projet'!$E$18+1,1))-AVERAGE(OFFSET($H$3,0,0,'Données projet'!$E$18+1,1))</f>
        <v>254.35742752782755</v>
      </c>
      <c r="HA72" s="62">
        <f t="shared" si="106"/>
        <v>171.79611712137395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>
        <f>EXP(-LN(2)/35)*HG71+(1-EXP(-LN(2)/35))/(LN(2)/35)*HC72*HD72*VLOOKUP('Données projet'!$B$18,Paramètres!$A$1:$I$89,3,0)*0.475*44/12</f>
        <v>0</v>
      </c>
      <c r="HH72" s="23">
        <f>EXP(-LN(2)/25)*HH71+(1-EXP(-LN(2)/25))/(LN(2)/25)*Calculateur!HC72*Calculateur!HE72*VLOOKUP('Données projet'!$B$18,Paramètres!$A$1:$I$89,3,0)*0.475*44/12</f>
        <v>0</v>
      </c>
      <c r="HI72" s="23">
        <f>EXP(-LN(2)/2)*HI71+(1-EXP(-LN(2)/2))/(LN(2)/2)*HC72*HF72*VLOOKUP('Données projet'!$B$18,Paramètres!$A$1:$I$89,3,0)*0.475*44/12</f>
        <v>0</v>
      </c>
      <c r="HJ72" s="24">
        <f t="shared" si="84"/>
        <v>0</v>
      </c>
    </row>
    <row r="73" spans="1:218" s="5" customFormat="1" x14ac:dyDescent="0.3">
      <c r="A73" s="11">
        <f t="shared" si="85"/>
        <v>70</v>
      </c>
      <c r="B73" s="76">
        <f>'Scénario référence'!$B$16*5+'Scénario référence'!$B$17*0+'Scénario référence'!$B$18*5</f>
        <v>3.9405000000000001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14.448500000000001</v>
      </c>
      <c r="H73" s="69">
        <f t="shared" si="56"/>
        <v>161.30656666666667</v>
      </c>
      <c r="I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61.202603142250901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5.3778846153846125</v>
      </c>
      <c r="N73" s="14">
        <f>IF('Données projet'!$A$36&gt;35,N72+M73-V72,IF(A73&lt;'Données projet'!$A$36,$K$205^A73,IF(A73='Données projet'!$A$36,'Données projet'!$B$36,N72+M73-V72)))</f>
        <v>205.9115384615385</v>
      </c>
      <c r="O73" s="14">
        <f>N73*VLOOKUP('Données projet'!$B$9,Paramètres!$A$1:$I$89,3,0)*VLOOKUP('Données projet'!$B$9,Paramètres!$A$1:$I$89,5,0)</f>
        <v>120.45825000000004</v>
      </c>
      <c r="P73" s="14">
        <f t="shared" si="87"/>
        <v>31.781854860937063</v>
      </c>
      <c r="Q73" s="22">
        <f t="shared" si="54"/>
        <v>265.15151596613208</v>
      </c>
      <c r="R73" s="62">
        <f t="shared" si="55"/>
        <v>526.22772748771877</v>
      </c>
      <c r="S73" s="62">
        <f ca="1">AVERAGE(OFFSET($R$3,0,0,'Données projet'!$E$9+1,1))-AVERAGE(OFFSET($H$3,0,0,'Données projet'!$E$9+1,1))</f>
        <v>210.54472399593521</v>
      </c>
      <c r="T73" s="62">
        <f t="shared" si="88"/>
        <v>181.14158435194193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61.202603142250901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266.89999999999998</v>
      </c>
      <c r="AG73" s="13">
        <f>VLOOKUP(A73,'Données projet'!$A$61:$I$81,9,0)</f>
        <v>2.5199999999999934</v>
      </c>
      <c r="AH73" s="13">
        <f t="array" ref="AH73">INDEX(AG:AG,MIN(IF(ISNUMBER(AG73:AG269),ROW(AG73:AG269),"")))</f>
        <v>2.5199999999999934</v>
      </c>
      <c r="AI73" s="14">
        <f>IF('Données projet'!$A$62&gt;35,AI72+AH73-AQ72,IF(A73&lt;'Données projet'!$A$62,$AF$205^A73,IF(A73='Données projet'!$A$62,'Données projet'!$B$62,AI72+AH73-AQ72)))</f>
        <v>266.89999999999992</v>
      </c>
      <c r="AJ73" s="14">
        <f>AI73*VLOOKUP('Données projet'!$B$10,Paramètres!$A$1:$I$89,3,0)*VLOOKUP('Données projet'!$B$10,Paramètres!$A$1:$I$89,5,0)</f>
        <v>138.78799999999998</v>
      </c>
      <c r="AK73" s="14">
        <f t="shared" si="89"/>
        <v>36.019212967850898</v>
      </c>
      <c r="AL73" s="22">
        <f t="shared" si="58"/>
        <v>304.45589591900699</v>
      </c>
      <c r="AM73" s="62">
        <f t="shared" si="59"/>
        <v>565.53210744059356</v>
      </c>
      <c r="AN73" s="62">
        <f ca="1">AVERAGE(OFFSET($AM$3,0,0,'Données projet'!$E$10+1,1))-AVERAGE(OFFSET($H$3,0,0,'Données projet'!$E$10+1,1))</f>
        <v>289.05608923588198</v>
      </c>
      <c r="AO73" s="62">
        <f t="shared" si="90"/>
        <v>220.06639020312738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61.202603142250901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92.862500000000011</v>
      </c>
      <c r="BB73" s="13">
        <f>VLOOKUP(A73,'Données projet'!$A$87:$I$107,9,0)</f>
        <v>1.6750000000000014</v>
      </c>
      <c r="BC73" s="13">
        <f t="array" ref="BC73">INDEX(BB:BB,MIN(IF(ISNUMBER(BB73:BB269),ROW(BB73:BB269),"")))</f>
        <v>1.6750000000000014</v>
      </c>
      <c r="BD73" s="13">
        <f>IF('Données projet'!$A$88&gt;35,BD72+BC73-BL72,IF(A73&lt;'Données projet'!$A$88,$BA$205^A73,IF(A73='Données projet'!$A$88,'Données projet'!$B$88,BD72+BC73-BL72)))</f>
        <v>92.86249999999994</v>
      </c>
      <c r="BE73" s="14">
        <f>BD73*VLOOKUP('Données projet'!$B$11,Paramètres!$A$1:$I$89,3,0)*VLOOKUP('Données projet'!$B$11,Paramètres!$A$1:$I$89,5,0)</f>
        <v>106.97759999999992</v>
      </c>
      <c r="BF73" s="14">
        <f t="shared" si="91"/>
        <v>28.617733004955216</v>
      </c>
      <c r="BG73" s="22">
        <f t="shared" si="61"/>
        <v>236.16187165029689</v>
      </c>
      <c r="BH73" s="62">
        <f t="shared" si="62"/>
        <v>497.23808317188355</v>
      </c>
      <c r="BI73" s="62">
        <f ca="1">AVERAGE(OFFSET($BH$3,0,0,'Données projet'!$E$11+1,1))-AVERAGE(OFFSET($H$3,0,0,'Données projet'!$E$11+1,1))</f>
        <v>299.54950406029354</v>
      </c>
      <c r="BJ73" s="62">
        <f t="shared" si="92"/>
        <v>208.26364698165739</v>
      </c>
      <c r="BK73" s="16">
        <f>IF(ISNA(VLOOKUP(A73,'Données projet'!$A$87:$I$107,3,0)),0,VLOOKUP(A73,'Données projet'!$A$87:$I$107,3,0))</f>
        <v>5</v>
      </c>
      <c r="BL73" s="16">
        <f>IF(ISNA(VLOOKUP(A73,'Données projet'!$A$87:$I$107,4,0)),0,VLOOKUP(A73,'Données projet'!$A$87:$I$107,4,0))</f>
        <v>8.5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61.202603142250901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194.23076923076923</v>
      </c>
      <c r="BW73" s="13">
        <f>VLOOKUP(A73,'Données projet'!$A$113:$I$133,9,0)</f>
        <v>3.8461538461538454</v>
      </c>
      <c r="BX73" s="13">
        <f t="array" ref="BX73">INDEX(BW:BW,MIN(IF(ISNUMBER(BW73:BW269),ROW(BW73:BW269),"")))</f>
        <v>3.8461538461538454</v>
      </c>
      <c r="BY73" s="13">
        <f>IF('Données projet'!$A$114&gt;35,BY72+BX73-CG72,IF(A73&lt;'Données projet'!$A$114,$BV$205^A73,IF(A73='Données projet'!$A$114,'Données projet'!$B$114,BY72+BX73-CG72)))</f>
        <v>194.23076923076911</v>
      </c>
      <c r="BZ73" s="14">
        <f>BY73*VLOOKUP('Données projet'!$B$12,Paramètres!$A$1:$I$89,3,0)*VLOOKUP('Données projet'!$B$12,Paramètres!$A$1:$I$89,5,0)</f>
        <v>209.06999999999988</v>
      </c>
      <c r="CA73" s="14">
        <f t="shared" si="93"/>
        <v>51.732304832646591</v>
      </c>
      <c r="CB73" s="22">
        <f t="shared" si="64"/>
        <v>454.23068091685923</v>
      </c>
      <c r="CC73" s="62">
        <f t="shared" si="65"/>
        <v>715.30689243844586</v>
      </c>
      <c r="CD73" s="62">
        <f ca="1">AVERAGE(OFFSET($CC$3,0,0,'Données projet'!$E$12+1,1))-AVERAGE(OFFSET($H$3,0,0,'Données projet'!$E$12+1,1))</f>
        <v>441.30518831297212</v>
      </c>
      <c r="CE73" s="62">
        <f t="shared" si="94"/>
        <v>270.42872405271851</v>
      </c>
      <c r="CF73" s="16">
        <f>IF(ISNA(VLOOKUP(A73,'Données projet'!$A$113:$I$133,3,0)),0,VLOOKUP(A73,'Données projet'!$A$113:$I$133,3,0))</f>
        <v>5</v>
      </c>
      <c r="CG73" s="16">
        <f>IF(ISNA(VLOOKUP(A73,'Données projet'!$A$113:$I$133,4,0)),0,VLOOKUP(A73,'Données projet'!$A$113:$I$133,4,0))</f>
        <v>18.589743589743588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61.202603142250901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209</v>
      </c>
      <c r="CR73" s="13">
        <f>VLOOKUP(A73,'Données projet'!$A$139:$I$159,9,0)</f>
        <v>3</v>
      </c>
      <c r="CS73" s="13">
        <f t="array" ref="CS73">INDEX(CR:CR,MIN(IF(ISNUMBER(CR73:CR269),ROW(CR73:CR269),"")))</f>
        <v>3</v>
      </c>
      <c r="CT73" s="13">
        <f>IF('Données projet'!$A$140&gt;35,CT72+CS73-DB72,IF(A73&lt;'Données projet'!$A$140,$CQ$205^A73,IF(A73='Données projet'!$A$140,'Données projet'!$B$140,CT72+CS73-DB72)))</f>
        <v>208.99999999999989</v>
      </c>
      <c r="CU73" s="18">
        <f>CT73*VLOOKUP('Données projet'!$B$13,Paramètres!$A$1:$I$89,3,0)*VLOOKUP('Données projet'!$B$13,Paramètres!$A$1:$I$89,5,0)</f>
        <v>182.58239999999992</v>
      </c>
      <c r="CV73" s="14">
        <f t="shared" si="95"/>
        <v>45.896245406460245</v>
      </c>
      <c r="CW73" s="22">
        <f t="shared" si="67"/>
        <v>397.93364074958481</v>
      </c>
      <c r="CX73" s="62">
        <f t="shared" si="68"/>
        <v>659.00985227117144</v>
      </c>
      <c r="CY73" s="62">
        <f ca="1">AVERAGE(OFFSET($CX$3,0,0,'Données projet'!$E$13+1,1))-AVERAGE(OFFSET($H$3,0,0,'Données projet'!$E$13+1,1))</f>
        <v>310.81258463659196</v>
      </c>
      <c r="CZ73" s="62">
        <f t="shared" si="96"/>
        <v>287.31099756692083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61.202603142250901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194.23076923076923</v>
      </c>
      <c r="DM73" s="13">
        <f>VLOOKUP(A73,'Données projet'!$A$165:$I$185,9,0)</f>
        <v>3.8461538461538454</v>
      </c>
      <c r="DN73" s="13">
        <f t="array" ref="DN73">INDEX(DM:DM,MIN(IF(ISNUMBER(DM73:DM269),ROW(DM73:DM269),"")))</f>
        <v>3.8461538461538454</v>
      </c>
      <c r="DO73" s="13">
        <f>IF('Données projet'!$A$166&gt;35,DO72+DN73-DW72,IF(A73&lt;'Données projet'!$A$166,$DL$205^A73,IF(A73='Données projet'!$A$166,'Données projet'!$B$166,DO72+DN73-DW72)))</f>
        <v>194.23076923076911</v>
      </c>
      <c r="DP73" s="18">
        <f>DO73*VLOOKUP('Données projet'!$B$14,Paramètres!$A$1:$I$89,3,0)*VLOOKUP('Données projet'!$B$14,Paramètres!$A$1:$I$89,5,0)</f>
        <v>203.00999999999988</v>
      </c>
      <c r="DQ73" s="14">
        <f t="shared" si="97"/>
        <v>50.405098420745524</v>
      </c>
      <c r="DR73" s="22">
        <f t="shared" si="70"/>
        <v>441.36462974946488</v>
      </c>
      <c r="DS73" s="62">
        <f t="shared" si="71"/>
        <v>702.44084127105157</v>
      </c>
      <c r="DT73" s="62">
        <f ca="1">AVERAGE(OFFSET($DS$3,0,0,'Données projet'!$E$14+1,1))-AVERAGE(OFFSET($H$3,0,0,'Données projet'!$E$14+1,1))</f>
        <v>431.19274104373625</v>
      </c>
      <c r="DU73" s="62">
        <f t="shared" si="98"/>
        <v>264.67919175178133</v>
      </c>
      <c r="DV73" s="16">
        <f>IF(ISNA(VLOOKUP(A73,'Données projet'!$A$165:$I$185,3,0)),0,VLOOKUP(A73,'Données projet'!$A$165:$I$185,3,0))</f>
        <v>5</v>
      </c>
      <c r="DW73" s="16">
        <f>IF(ISNA(VLOOKUP(A73,'Données projet'!$A$165:$I$185,4,0)),0,VLOOKUP(A73,'Données projet'!$A$165:$I$185,4,0))</f>
        <v>18.589743589743588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61.202603142250901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9.9551282051282044</v>
      </c>
      <c r="EJ73" s="13">
        <f>IF('Données projet'!$A$192&gt;35,EJ72+EI73-ER72,IF(A73&lt;'Données projet'!$A$192,$EG$205^A73,IF(A73='Données projet'!$A$192,'Données projet'!$B$192,EJ72+EI73-ER72)))</f>
        <v>310.70128205128196</v>
      </c>
      <c r="EK73" s="18">
        <f>EJ73*VLOOKUP('Données projet'!$B$15,Paramètres!$A$1:$I$89,3,0)*VLOOKUP('Données projet'!$B$15,Paramètres!$A$1:$I$89,5,0)</f>
        <v>145.40819999999997</v>
      </c>
      <c r="EL73" s="14">
        <f t="shared" si="99"/>
        <v>37.533201941228626</v>
      </c>
      <c r="EM73" s="22">
        <f t="shared" si="73"/>
        <v>318.62294171430648</v>
      </c>
      <c r="EN73" s="62">
        <f t="shared" si="74"/>
        <v>579.69915323589316</v>
      </c>
      <c r="EO73" s="62">
        <f ca="1">AVERAGE(OFFSET($EN$3,0,0,'Données projet'!$E$15+1,1))-AVERAGE(OFFSET($H$3,0,0,'Données projet'!$E$15+1,1))</f>
        <v>291.68530745507815</v>
      </c>
      <c r="EP73" s="62">
        <f t="shared" si="100"/>
        <v>175.95121106728979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0</v>
      </c>
      <c r="EZ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61.202603142250901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>
        <f>VLOOKUP(A73,'Données projet'!$A$217:$I$237,2,0)</f>
        <v>172</v>
      </c>
      <c r="FC73" s="13">
        <f>VLOOKUP(A73,'Données projet'!$A$217:$I$237,9,0)</f>
        <v>3.8</v>
      </c>
      <c r="FD73" s="13">
        <f t="array" ref="FD73">INDEX(FC:FC,MIN(IF(ISNUMBER(FC73:FC269),ROW(FC73:FC269),"")))</f>
        <v>3.8</v>
      </c>
      <c r="FE73" s="13">
        <f>IF('Données projet'!$A$218&gt;35,FE72+FD73-FM72,IF(A73&lt;'Données projet'!$A$218,$FB$205^A73,IF(A73='Données projet'!$A$218,'Données projet'!$B$218,FE72+FD73-FM72)))</f>
        <v>171.99999999999983</v>
      </c>
      <c r="FF73" s="18">
        <f>FE73*VLOOKUP('Données projet'!$B$16,Paramètres!$A$1:$I$89,3,0)*VLOOKUP('Données projet'!$B$16,Paramètres!$A$1:$I$89,5,0)</f>
        <v>112.69439999999989</v>
      </c>
      <c r="FG73" s="14">
        <f t="shared" si="101"/>
        <v>29.964909381330607</v>
      </c>
      <c r="FH73" s="22">
        <f t="shared" si="76"/>
        <v>248.46496383915061</v>
      </c>
      <c r="FI73" s="62">
        <f t="shared" si="77"/>
        <v>509.54117536073727</v>
      </c>
      <c r="FJ73" s="62">
        <f ca="1">AVERAGE(OFFSET($FI$3,0,0,'Données projet'!$E$16+1,1))-AVERAGE(OFFSET($H$3,0,0,'Données projet'!$E$16+1,1))</f>
        <v>248.75689726928428</v>
      </c>
      <c r="FK73" s="62">
        <f t="shared" si="102"/>
        <v>232.02291680388336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projet'!$B$16,Paramètres!$A$1:$I$89,3,0)*0.475*44/12</f>
        <v>0</v>
      </c>
      <c r="FR73" s="23">
        <f>EXP(-LN(2)/25)*FR72+(1-EXP(-LN(2)/25))/(LN(2)/25)*Calculateur!FM73*Calculateur!FO73*VLOOKUP('Données projet'!$B$16,Paramètres!$A$1:$I$89,3,0)*0.475*44/12</f>
        <v>0</v>
      </c>
      <c r="FS73" s="23">
        <f>EXP(-LN(2)/2)*FS72+(1-EXP(-LN(2)/2))/(LN(2)/2)*FM73*FP73*VLOOKUP('Données projet'!$B$16,Paramètres!$A$1:$I$89,3,0)*0.475*44/12</f>
        <v>0</v>
      </c>
      <c r="FT73" s="24">
        <f t="shared" si="78"/>
        <v>0</v>
      </c>
      <c r="FU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61.202603142250901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11.727272727272727</v>
      </c>
      <c r="FZ73" s="13">
        <f>IF('Données projet'!$A$244&gt;35,FZ72+FY73-GH72,IF(A73&lt;'Données projet'!$A$244,$FW$205^A73,IF(A73='Données projet'!$A$244,'Données projet'!$B$244,FZ72+FY73-GH72)))</f>
        <v>272.18181818181824</v>
      </c>
      <c r="GA73" s="18">
        <f>FZ73*VLOOKUP('Données projet'!$B$17,Paramètres!$A$1:$I$89,3,0)*VLOOKUP('Données projet'!$B$17,Paramètres!$A$1:$I$89,5,0)</f>
        <v>162.76472727272733</v>
      </c>
      <c r="GB73" s="14">
        <f t="shared" si="103"/>
        <v>41.465484229036846</v>
      </c>
      <c r="GC73" s="22">
        <f t="shared" si="79"/>
        <v>355.70095169890595</v>
      </c>
      <c r="GD73" s="62">
        <f t="shared" si="80"/>
        <v>616.77716322049264</v>
      </c>
      <c r="GE73" s="62">
        <f ca="1">AVERAGE(OFFSET($GD$3,0,0,'Données projet'!$E$17+1,1))-AVERAGE(OFFSET($H$3,0,0,'Données projet'!$E$17+1,1))</f>
        <v>315.909549580511</v>
      </c>
      <c r="GF73" s="62">
        <f t="shared" si="104"/>
        <v>208.56856525402051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>
        <f>EXP(-LN(2)/35)*GL72+(1-EXP(-LN(2)/35))/(LN(2)/35)*GH73*GI73*VLOOKUP('Données projet'!$B$17,Paramètres!$A$1:$I$89,3,0)*0.475*44/12</f>
        <v>0</v>
      </c>
      <c r="GM73" s="23">
        <f>EXP(-LN(2)/25)*GM72+(1-EXP(-LN(2)/25))/(LN(2)/25)*Calculateur!GH73*Calculateur!GJ73*VLOOKUP('Données projet'!$B$17,Paramètres!$A$1:$I$89,3,0)*0.475*44/12</f>
        <v>0</v>
      </c>
      <c r="GN73" s="23">
        <f>EXP(-LN(2)/2)*GN72+(1-EXP(-LN(2)/2))/(LN(2)/2)*GH73*GK73*VLOOKUP('Données projet'!$B$17,Paramètres!$A$1:$I$89,3,0)*0.475*44/12</f>
        <v>0</v>
      </c>
      <c r="GO73" s="23">
        <f t="shared" si="81"/>
        <v>0</v>
      </c>
      <c r="GP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61.202603142250901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>
        <f>VLOOKUP(A73,'Données projet'!$A$269:$I$289,2,0)</f>
        <v>160.89743589743588</v>
      </c>
      <c r="GS73" s="13">
        <f>VLOOKUP(A73,'Données projet'!$A$269:$I$289,9,0)</f>
        <v>3.4615384615384586</v>
      </c>
      <c r="GT73" s="13">
        <f t="array" ref="GT73">INDEX(GS:GS,MIN(IF(ISNUMBER(GS73:GS269),ROW(GS73:GS269),"")))</f>
        <v>3.4615384615384586</v>
      </c>
      <c r="GU73" s="13">
        <f>IF('Données projet'!$A$270&gt;35,GU72+GT73-HC72,IF(A73&lt;'Données projet'!$A$270,$GR$205^A73,IF(A73='Données projet'!$A$270,'Données projet'!$B$270,GU72+GT73-HC72)))</f>
        <v>160.89743589743594</v>
      </c>
      <c r="GV73" s="18">
        <f>GU73*VLOOKUP('Données projet'!$B$18,Paramètres!$A$1:$I$89,3,0)*VLOOKUP('Données projet'!$B$18,Paramètres!$A$1:$I$89,5,0)</f>
        <v>107.93000000000004</v>
      </c>
      <c r="GW73" s="14">
        <f t="shared" si="105"/>
        <v>28.842738502078618</v>
      </c>
      <c r="GX73" s="22">
        <f t="shared" si="82"/>
        <v>238.21251955778698</v>
      </c>
      <c r="GY73" s="62">
        <f t="shared" si="83"/>
        <v>499.28873107937363</v>
      </c>
      <c r="GZ73" s="62">
        <f ca="1">AVERAGE(OFFSET($GY$3,0,0,'Données projet'!$E$18+1,1))-AVERAGE(OFFSET($H$3,0,0,'Données projet'!$E$18+1,1))</f>
        <v>254.35742752782755</v>
      </c>
      <c r="HA73" s="62">
        <f t="shared" si="106"/>
        <v>171.79611712137395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>
        <f>EXP(-LN(2)/35)*HG72+(1-EXP(-LN(2)/35))/(LN(2)/35)*HC73*HD73*VLOOKUP('Données projet'!$B$18,Paramètres!$A$1:$I$89,3,0)*0.475*44/12</f>
        <v>0</v>
      </c>
      <c r="HH73" s="23">
        <f>EXP(-LN(2)/25)*HH72+(1-EXP(-LN(2)/25))/(LN(2)/25)*Calculateur!HC73*Calculateur!HE73*VLOOKUP('Données projet'!$B$18,Paramètres!$A$1:$I$89,3,0)*0.475*44/12</f>
        <v>0</v>
      </c>
      <c r="HI73" s="23">
        <f>EXP(-LN(2)/2)*HI72+(1-EXP(-LN(2)/2))/(LN(2)/2)*HC73*HF73*VLOOKUP('Données projet'!$B$18,Paramètres!$A$1:$I$89,3,0)*0.475*44/12</f>
        <v>0</v>
      </c>
      <c r="HJ73" s="24">
        <f t="shared" si="84"/>
        <v>0</v>
      </c>
    </row>
    <row r="74" spans="1:218" s="5" customFormat="1" x14ac:dyDescent="0.3">
      <c r="A74" s="11">
        <f t="shared" si="85"/>
        <v>71</v>
      </c>
      <c r="B74" s="76">
        <f>'Scénario référence'!$B$16*5+'Scénario référence'!$B$17*0+'Scénario référence'!$B$18*5</f>
        <v>3.9405000000000001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14.448500000000001</v>
      </c>
      <c r="H74" s="69">
        <f t="shared" si="56"/>
        <v>161.30656666666667</v>
      </c>
      <c r="I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61.355218309699964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5.3778846153846125</v>
      </c>
      <c r="N74" s="14">
        <f>IF('Données projet'!$A$36&gt;35,N73+M74-V73,IF(A74&lt;'Données projet'!$A$36,$K$205^A74,IF(A74='Données projet'!$A$36,'Données projet'!$B$36,N73+M74-V73)))</f>
        <v>211.2894230769231</v>
      </c>
      <c r="O74" s="14">
        <f>N74*VLOOKUP('Données projet'!$B$9,Paramètres!$A$1:$I$89,3,0)*VLOOKUP('Données projet'!$B$9,Paramètres!$A$1:$I$89,5,0)</f>
        <v>123.60431250000002</v>
      </c>
      <c r="P74" s="14">
        <f t="shared" si="87"/>
        <v>32.51419263702352</v>
      </c>
      <c r="Q74" s="22">
        <f t="shared" si="54"/>
        <v>271.90639644698263</v>
      </c>
      <c r="R74" s="62">
        <f t="shared" si="55"/>
        <v>533.54219691588241</v>
      </c>
      <c r="S74" s="62">
        <f ca="1">AVERAGE(OFFSET($R$3,0,0,'Données projet'!$E$9+1,1))-AVERAGE(OFFSET($H$3,0,0,'Données projet'!$E$9+1,1))</f>
        <v>210.54472399593521</v>
      </c>
      <c r="T74" s="62">
        <f t="shared" si="88"/>
        <v>181.14158435194193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61.355218309699964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2.2600000000000025</v>
      </c>
      <c r="AI74" s="14">
        <f>IF('Données projet'!$A$62&gt;35,AI73+AH74-AQ73,IF(A74&lt;'Données projet'!$A$62,$AF$205^A74,IF(A74='Données projet'!$A$62,'Données projet'!$B$62,AI73+AH74-AQ73)))</f>
        <v>269.15999999999991</v>
      </c>
      <c r="AJ74" s="14">
        <f>AI74*VLOOKUP('Données projet'!$B$10,Paramètres!$A$1:$I$89,3,0)*VLOOKUP('Données projet'!$B$10,Paramètres!$A$1:$I$89,5,0)</f>
        <v>139.96319999999997</v>
      </c>
      <c r="AK74" s="14">
        <f t="shared" si="89"/>
        <v>36.288575002787859</v>
      </c>
      <c r="AL74" s="22">
        <f t="shared" si="58"/>
        <v>306.97184146318881</v>
      </c>
      <c r="AM74" s="62">
        <f t="shared" si="59"/>
        <v>568.60764193208865</v>
      </c>
      <c r="AN74" s="62">
        <f ca="1">AVERAGE(OFFSET($AM$3,0,0,'Données projet'!$E$10+1,1))-AVERAGE(OFFSET($H$3,0,0,'Données projet'!$E$10+1,1))</f>
        <v>289.05608923588198</v>
      </c>
      <c r="AO74" s="62">
        <f t="shared" si="90"/>
        <v>220.06639020312738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61.355218309699964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1.5783333333333318</v>
      </c>
      <c r="BD74" s="13">
        <f>IF('Données projet'!$A$88&gt;35,BD73+BC74-BL73,IF(A74&lt;'Données projet'!$A$88,$BA$205^A74,IF(A74='Données projet'!$A$88,'Données projet'!$B$88,BD73+BC74-BL73)))</f>
        <v>85.940833333333273</v>
      </c>
      <c r="BE74" s="14">
        <f>BD74*VLOOKUP('Données projet'!$B$11,Paramètres!$A$1:$I$89,3,0)*VLOOKUP('Données projet'!$B$11,Paramètres!$A$1:$I$89,5,0)</f>
        <v>99.003839999999926</v>
      </c>
      <c r="BF74" s="14">
        <f t="shared" si="91"/>
        <v>26.724538061641486</v>
      </c>
      <c r="BG74" s="22">
        <f t="shared" si="61"/>
        <v>218.97692512402543</v>
      </c>
      <c r="BH74" s="62">
        <f t="shared" si="62"/>
        <v>480.61272559292524</v>
      </c>
      <c r="BI74" s="62">
        <f ca="1">AVERAGE(OFFSET($BH$3,0,0,'Données projet'!$E$11+1,1))-AVERAGE(OFFSET($H$3,0,0,'Données projet'!$E$11+1,1))</f>
        <v>299.54950406029354</v>
      </c>
      <c r="BJ74" s="62">
        <f t="shared" si="92"/>
        <v>208.26364698165739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61.355218309699964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3.4615384615384643</v>
      </c>
      <c r="BY74" s="13">
        <f>IF('Données projet'!$A$114&gt;35,BY73+BX74-CG73,IF(A74&lt;'Données projet'!$A$114,$BV$205^A74,IF(A74='Données projet'!$A$114,'Données projet'!$B$114,BY73+BX74-CG73)))</f>
        <v>179.10256410256397</v>
      </c>
      <c r="BZ74" s="14">
        <f>BY74*VLOOKUP('Données projet'!$B$12,Paramètres!$A$1:$I$89,3,0)*VLOOKUP('Données projet'!$B$12,Paramètres!$A$1:$I$89,5,0)</f>
        <v>192.78599999999986</v>
      </c>
      <c r="CA74" s="14">
        <f t="shared" si="93"/>
        <v>48.155375096305725</v>
      </c>
      <c r="CB74" s="22">
        <f t="shared" si="64"/>
        <v>419.63956162606559</v>
      </c>
      <c r="CC74" s="62">
        <f t="shared" si="65"/>
        <v>681.27536209496543</v>
      </c>
      <c r="CD74" s="62">
        <f ca="1">AVERAGE(OFFSET($CC$3,0,0,'Données projet'!$E$12+1,1))-AVERAGE(OFFSET($H$3,0,0,'Données projet'!$E$12+1,1))</f>
        <v>441.30518831297212</v>
      </c>
      <c r="CE74" s="62">
        <f t="shared" si="94"/>
        <v>270.42872405271851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61.355218309699964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2.6</v>
      </c>
      <c r="CT74" s="13">
        <f>IF('Données projet'!$A$140&gt;35,CT73+CS74-DB73,IF(A74&lt;'Données projet'!$A$140,$CQ$205^A74,IF(A74='Données projet'!$A$140,'Données projet'!$B$140,CT73+CS74-DB73)))</f>
        <v>211.59999999999988</v>
      </c>
      <c r="CU74" s="18">
        <f>CT74*VLOOKUP('Données projet'!$B$13,Paramètres!$A$1:$I$89,3,0)*VLOOKUP('Données projet'!$B$13,Paramètres!$A$1:$I$89,5,0)</f>
        <v>184.85375999999991</v>
      </c>
      <c r="CV74" s="14">
        <f t="shared" si="95"/>
        <v>46.400380376458166</v>
      </c>
      <c r="CW74" s="22">
        <f t="shared" si="67"/>
        <v>402.76762782233112</v>
      </c>
      <c r="CX74" s="62">
        <f t="shared" si="68"/>
        <v>664.40342829123097</v>
      </c>
      <c r="CY74" s="62">
        <f ca="1">AVERAGE(OFFSET($CX$3,0,0,'Données projet'!$E$13+1,1))-AVERAGE(OFFSET($H$3,0,0,'Données projet'!$E$13+1,1))</f>
        <v>310.81258463659196</v>
      </c>
      <c r="CZ74" s="62">
        <f t="shared" si="96"/>
        <v>287.31099756692083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61.355218309699964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3.4615384615384643</v>
      </c>
      <c r="DO74" s="13">
        <f>IF('Données projet'!$A$166&gt;35,DO73+DN74-DW73,IF(A74&lt;'Données projet'!$A$166,$DL$205^A74,IF(A74='Données projet'!$A$166,'Données projet'!$B$166,DO73+DN74-DW73)))</f>
        <v>179.10256410256397</v>
      </c>
      <c r="DP74" s="18">
        <f>DO74*VLOOKUP('Données projet'!$B$14,Paramètres!$A$1:$I$89,3,0)*VLOOKUP('Données projet'!$B$14,Paramètres!$A$1:$I$89,5,0)</f>
        <v>187.19799999999989</v>
      </c>
      <c r="DQ74" s="14">
        <f t="shared" si="97"/>
        <v>46.919935793880072</v>
      </c>
      <c r="DR74" s="22">
        <f t="shared" si="70"/>
        <v>407.75540484100753</v>
      </c>
      <c r="DS74" s="62">
        <f t="shared" si="71"/>
        <v>669.39120530990738</v>
      </c>
      <c r="DT74" s="62">
        <f ca="1">AVERAGE(OFFSET($DS$3,0,0,'Données projet'!$E$14+1,1))-AVERAGE(OFFSET($H$3,0,0,'Données projet'!$E$14+1,1))</f>
        <v>431.19274104373625</v>
      </c>
      <c r="DU74" s="62">
        <f t="shared" si="98"/>
        <v>264.67919175178133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61.355218309699964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9.9551282051282044</v>
      </c>
      <c r="EJ74" s="13">
        <f>IF('Données projet'!$A$192&gt;35,EJ73+EI74-ER73,IF(A74&lt;'Données projet'!$A$192,$EG$205^A74,IF(A74='Données projet'!$A$192,'Données projet'!$B$192,EJ73+EI74-ER73)))</f>
        <v>320.65641025641014</v>
      </c>
      <c r="EK74" s="18">
        <f>EJ74*VLOOKUP('Données projet'!$B$15,Paramètres!$A$1:$I$89,3,0)*VLOOKUP('Données projet'!$B$15,Paramètres!$A$1:$I$89,5,0)</f>
        <v>150.06719999999996</v>
      </c>
      <c r="EL74" s="14">
        <f t="shared" si="99"/>
        <v>38.593856663876636</v>
      </c>
      <c r="EM74" s="22">
        <f t="shared" si="73"/>
        <v>328.58467368958503</v>
      </c>
      <c r="EN74" s="62">
        <f t="shared" si="74"/>
        <v>590.22047415848488</v>
      </c>
      <c r="EO74" s="62">
        <f ca="1">AVERAGE(OFFSET($EN$3,0,0,'Données projet'!$E$15+1,1))-AVERAGE(OFFSET($H$3,0,0,'Données projet'!$E$15+1,1))</f>
        <v>291.68530745507815</v>
      </c>
      <c r="EP74" s="62">
        <f t="shared" si="100"/>
        <v>175.95121106728979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0</v>
      </c>
      <c r="EZ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61.355218309699964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3.6</v>
      </c>
      <c r="FE74" s="13">
        <f>IF('Données projet'!$A$218&gt;35,FE73+FD74-FM73,IF(A74&lt;'Données projet'!$A$218,$FB$205^A74,IF(A74='Données projet'!$A$218,'Données projet'!$B$218,FE73+FD74-FM73)))</f>
        <v>175.59999999999982</v>
      </c>
      <c r="FF74" s="18">
        <f>FE74*VLOOKUP('Données projet'!$B$16,Paramètres!$A$1:$I$89,3,0)*VLOOKUP('Données projet'!$B$16,Paramètres!$A$1:$I$89,5,0)</f>
        <v>115.05311999999988</v>
      </c>
      <c r="FG74" s="14">
        <f t="shared" si="101"/>
        <v>30.518409166186991</v>
      </c>
      <c r="FH74" s="22">
        <f t="shared" si="76"/>
        <v>253.53707996444214</v>
      </c>
      <c r="FI74" s="62">
        <f t="shared" si="77"/>
        <v>515.17288043334202</v>
      </c>
      <c r="FJ74" s="62">
        <f ca="1">AVERAGE(OFFSET($FI$3,0,0,'Données projet'!$E$16+1,1))-AVERAGE(OFFSET($H$3,0,0,'Données projet'!$E$16+1,1))</f>
        <v>248.75689726928428</v>
      </c>
      <c r="FK74" s="62">
        <f t="shared" si="102"/>
        <v>232.02291680388336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projet'!$B$16,Paramètres!$A$1:$I$89,3,0)*0.475*44/12</f>
        <v>0</v>
      </c>
      <c r="FR74" s="23">
        <f>EXP(-LN(2)/25)*FR73+(1-EXP(-LN(2)/25))/(LN(2)/25)*Calculateur!FM74*Calculateur!FO74*VLOOKUP('Données projet'!$B$16,Paramètres!$A$1:$I$89,3,0)*0.475*44/12</f>
        <v>0</v>
      </c>
      <c r="FS74" s="23">
        <f>EXP(-LN(2)/2)*FS73+(1-EXP(-LN(2)/2))/(LN(2)/2)*FM74*FP74*VLOOKUP('Données projet'!$B$16,Paramètres!$A$1:$I$89,3,0)*0.475*44/12</f>
        <v>0</v>
      </c>
      <c r="FT74" s="24">
        <f t="shared" si="78"/>
        <v>0</v>
      </c>
      <c r="FU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61.355218309699964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11.727272727272727</v>
      </c>
      <c r="FZ74" s="13">
        <f>IF('Données projet'!$A$244&gt;35,FZ73+FY74-GH73,IF(A74&lt;'Données projet'!$A$244,$FW$205^A74,IF(A74='Données projet'!$A$244,'Données projet'!$B$244,FZ73+FY74-GH73)))</f>
        <v>283.90909090909099</v>
      </c>
      <c r="GA74" s="18">
        <f>FZ74*VLOOKUP('Données projet'!$B$17,Paramètres!$A$1:$I$89,3,0)*VLOOKUP('Données projet'!$B$17,Paramètres!$A$1:$I$89,5,0)</f>
        <v>169.77763636363645</v>
      </c>
      <c r="GB74" s="14">
        <f t="shared" si="103"/>
        <v>43.040217734716748</v>
      </c>
      <c r="GC74" s="22">
        <f t="shared" si="79"/>
        <v>370.6577625546318</v>
      </c>
      <c r="GD74" s="62">
        <f t="shared" si="80"/>
        <v>632.29356302353165</v>
      </c>
      <c r="GE74" s="62">
        <f ca="1">AVERAGE(OFFSET($GD$3,0,0,'Données projet'!$E$17+1,1))-AVERAGE(OFFSET($H$3,0,0,'Données projet'!$E$17+1,1))</f>
        <v>315.909549580511</v>
      </c>
      <c r="GF74" s="62">
        <f t="shared" si="104"/>
        <v>208.56856525402051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projet'!$B$17,Paramètres!$A$1:$I$89,3,0)*0.475*44/12</f>
        <v>0</v>
      </c>
      <c r="GM74" s="23">
        <f>EXP(-LN(2)/25)*GM73+(1-EXP(-LN(2)/25))/(LN(2)/25)*Calculateur!GH74*Calculateur!GJ74*VLOOKUP('Données projet'!$B$17,Paramètres!$A$1:$I$89,3,0)*0.475*44/12</f>
        <v>0</v>
      </c>
      <c r="GN74" s="23">
        <f>EXP(-LN(2)/2)*GN73+(1-EXP(-LN(2)/2))/(LN(2)/2)*GH74*GK74*VLOOKUP('Données projet'!$B$17,Paramètres!$A$1:$I$89,3,0)*0.475*44/12</f>
        <v>0</v>
      </c>
      <c r="GO74" s="23">
        <f t="shared" si="81"/>
        <v>0</v>
      </c>
      <c r="GP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61.355218309699964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3.333333333333337</v>
      </c>
      <c r="GU74" s="13">
        <f>IF('Données projet'!$A$270&gt;35,GU73+GT74-HC73,IF(A74&lt;'Données projet'!$A$270,$GR$205^A74,IF(A74='Données projet'!$A$270,'Données projet'!$B$270,GU73+GT74-HC73)))</f>
        <v>164.23076923076928</v>
      </c>
      <c r="GV74" s="18">
        <f>GU74*VLOOKUP('Données projet'!$B$18,Paramètres!$A$1:$I$89,3,0)*VLOOKUP('Données projet'!$B$18,Paramètres!$A$1:$I$89,5,0)</f>
        <v>110.16600000000004</v>
      </c>
      <c r="GW74" s="14">
        <f t="shared" si="105"/>
        <v>29.370092034164426</v>
      </c>
      <c r="GX74" s="22">
        <f t="shared" si="82"/>
        <v>243.02536029283638</v>
      </c>
      <c r="GY74" s="62">
        <f t="shared" si="83"/>
        <v>504.66116076173626</v>
      </c>
      <c r="GZ74" s="62">
        <f ca="1">AVERAGE(OFFSET($GY$3,0,0,'Données projet'!$E$18+1,1))-AVERAGE(OFFSET($H$3,0,0,'Données projet'!$E$18+1,1))</f>
        <v>254.35742752782755</v>
      </c>
      <c r="HA74" s="62">
        <f t="shared" si="106"/>
        <v>171.79611712137395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>
        <f>EXP(-LN(2)/35)*HG73+(1-EXP(-LN(2)/35))/(LN(2)/35)*HC74*HD74*VLOOKUP('Données projet'!$B$18,Paramètres!$A$1:$I$89,3,0)*0.475*44/12</f>
        <v>0</v>
      </c>
      <c r="HH74" s="23">
        <f>EXP(-LN(2)/25)*HH73+(1-EXP(-LN(2)/25))/(LN(2)/25)*Calculateur!HC74*Calculateur!HE74*VLOOKUP('Données projet'!$B$18,Paramètres!$A$1:$I$89,3,0)*0.475*44/12</f>
        <v>0</v>
      </c>
      <c r="HI74" s="23">
        <f>EXP(-LN(2)/2)*HI73+(1-EXP(-LN(2)/2))/(LN(2)/2)*HC74*HF74*VLOOKUP('Données projet'!$B$18,Paramètres!$A$1:$I$89,3,0)*0.475*44/12</f>
        <v>0</v>
      </c>
      <c r="HJ74" s="24">
        <f t="shared" si="84"/>
        <v>0</v>
      </c>
    </row>
    <row r="75" spans="1:218" s="5" customFormat="1" x14ac:dyDescent="0.3">
      <c r="A75" s="11">
        <f t="shared" si="85"/>
        <v>72</v>
      </c>
      <c r="B75" s="76">
        <f>'Scénario référence'!$B$16*5+'Scénario référence'!$B$17*0+'Scénario référence'!$B$18*5</f>
        <v>3.9405000000000001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14.448500000000001</v>
      </c>
      <c r="H75" s="69">
        <f t="shared" si="56"/>
        <v>161.30656666666667</v>
      </c>
      <c r="I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61.505185945190178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5.3778846153846125</v>
      </c>
      <c r="N75" s="14">
        <f>IF('Données projet'!$A$36&gt;35,N74+M75-V74,IF(A75&lt;'Données projet'!$A$36,$K$205^A75,IF(A75='Données projet'!$A$36,'Données projet'!$B$36,N74+M75-V74)))</f>
        <v>216.6673076923077</v>
      </c>
      <c r="O75" s="14">
        <f>N75*VLOOKUP('Données projet'!$B$9,Paramètres!$A$1:$I$89,3,0)*VLOOKUP('Données projet'!$B$9,Paramètres!$A$1:$I$89,5,0)</f>
        <v>126.75037500000002</v>
      </c>
      <c r="P75" s="14">
        <f t="shared" si="87"/>
        <v>33.244363684506752</v>
      </c>
      <c r="Q75" s="22">
        <f t="shared" si="54"/>
        <v>278.65750320884928</v>
      </c>
      <c r="R75" s="62">
        <f t="shared" si="55"/>
        <v>540.84318500787992</v>
      </c>
      <c r="S75" s="62">
        <f ca="1">AVERAGE(OFFSET($R$3,0,0,'Données projet'!$E$9+1,1))-AVERAGE(OFFSET($H$3,0,0,'Données projet'!$E$9+1,1))</f>
        <v>210.54472399593521</v>
      </c>
      <c r="T75" s="62">
        <f t="shared" si="88"/>
        <v>181.14158435194193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61.505185945190178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2.2600000000000025</v>
      </c>
      <c r="AI75" s="14">
        <f>IF('Données projet'!$A$62&gt;35,AI74+AH75-AQ74,IF(A75&lt;'Données projet'!$A$62,$AF$205^A75,IF(A75='Données projet'!$A$62,'Données projet'!$B$62,AI74+AH75-AQ74)))</f>
        <v>271.4199999999999</v>
      </c>
      <c r="AJ75" s="14">
        <f>AI75*VLOOKUP('Données projet'!$B$10,Paramètres!$A$1:$I$89,3,0)*VLOOKUP('Données projet'!$B$10,Paramètres!$A$1:$I$89,5,0)</f>
        <v>141.13839999999996</v>
      </c>
      <c r="AK75" s="14">
        <f t="shared" si="89"/>
        <v>36.557673901602939</v>
      </c>
      <c r="AL75" s="22">
        <f t="shared" si="58"/>
        <v>309.48732871195836</v>
      </c>
      <c r="AM75" s="62">
        <f t="shared" si="59"/>
        <v>571.673010510989</v>
      </c>
      <c r="AN75" s="62">
        <f ca="1">AVERAGE(OFFSET($AM$3,0,0,'Données projet'!$E$10+1,1))-AVERAGE(OFFSET($H$3,0,0,'Données projet'!$E$10+1,1))</f>
        <v>289.05608923588198</v>
      </c>
      <c r="AO75" s="62">
        <f t="shared" si="90"/>
        <v>220.06639020312738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61.505185945190178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1.5783333333333318</v>
      </c>
      <c r="BD75" s="13">
        <f>IF('Données projet'!$A$88&gt;35,BD74+BC75-BL74,IF(A75&lt;'Données projet'!$A$88,$BA$205^A75,IF(A75='Données projet'!$A$88,'Données projet'!$B$88,BD74+BC75-BL74)))</f>
        <v>87.519166666666607</v>
      </c>
      <c r="BE75" s="14">
        <f>BD75*VLOOKUP('Données projet'!$B$11,Paramètres!$A$1:$I$89,3,0)*VLOOKUP('Données projet'!$B$11,Paramètres!$A$1:$I$89,5,0)</f>
        <v>100.82207999999993</v>
      </c>
      <c r="BF75" s="14">
        <f t="shared" si="91"/>
        <v>27.157753353396636</v>
      </c>
      <c r="BG75" s="22">
        <f t="shared" si="61"/>
        <v>222.89820975716569</v>
      </c>
      <c r="BH75" s="62">
        <f t="shared" si="62"/>
        <v>485.08389155619636</v>
      </c>
      <c r="BI75" s="62">
        <f ca="1">AVERAGE(OFFSET($BH$3,0,0,'Données projet'!$E$11+1,1))-AVERAGE(OFFSET($H$3,0,0,'Données projet'!$E$11+1,1))</f>
        <v>299.54950406029354</v>
      </c>
      <c r="BJ75" s="62">
        <f t="shared" si="92"/>
        <v>208.26364698165739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61.505185945190178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3.4615384615384643</v>
      </c>
      <c r="BY75" s="13">
        <f>IF('Données projet'!$A$114&gt;35,BY74+BX75-CG74,IF(A75&lt;'Données projet'!$A$114,$BV$205^A75,IF(A75='Données projet'!$A$114,'Données projet'!$B$114,BY74+BX75-CG74)))</f>
        <v>182.56410256410243</v>
      </c>
      <c r="BZ75" s="14">
        <f>BY75*VLOOKUP('Données projet'!$B$12,Paramètres!$A$1:$I$89,3,0)*VLOOKUP('Données projet'!$B$12,Paramètres!$A$1:$I$89,5,0)</f>
        <v>196.51199999999983</v>
      </c>
      <c r="CA75" s="14">
        <f t="shared" si="93"/>
        <v>48.976827738597933</v>
      </c>
      <c r="CB75" s="22">
        <f t="shared" si="64"/>
        <v>427.55970831139103</v>
      </c>
      <c r="CC75" s="62">
        <f t="shared" si="65"/>
        <v>689.74539011042168</v>
      </c>
      <c r="CD75" s="62">
        <f ca="1">AVERAGE(OFFSET($CC$3,0,0,'Données projet'!$E$12+1,1))-AVERAGE(OFFSET($H$3,0,0,'Données projet'!$E$12+1,1))</f>
        <v>441.30518831297212</v>
      </c>
      <c r="CE75" s="62">
        <f t="shared" si="94"/>
        <v>270.42872405271851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61.505185945190178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2.6</v>
      </c>
      <c r="CT75" s="13">
        <f>IF('Données projet'!$A$140&gt;35,CT74+CS75-DB74,IF(A75&lt;'Données projet'!$A$140,$CQ$205^A75,IF(A75='Données projet'!$A$140,'Données projet'!$B$140,CT74+CS75-DB74)))</f>
        <v>214.19999999999987</v>
      </c>
      <c r="CU75" s="18">
        <f>CT75*VLOOKUP('Données projet'!$B$13,Paramètres!$A$1:$I$89,3,0)*VLOOKUP('Données projet'!$B$13,Paramètres!$A$1:$I$89,5,0)</f>
        <v>187.12511999999992</v>
      </c>
      <c r="CV75" s="14">
        <f t="shared" si="95"/>
        <v>46.903794805770502</v>
      </c>
      <c r="CW75" s="22">
        <f t="shared" si="67"/>
        <v>407.60035995338347</v>
      </c>
      <c r="CX75" s="62">
        <f t="shared" si="68"/>
        <v>669.78604175241412</v>
      </c>
      <c r="CY75" s="62">
        <f ca="1">AVERAGE(OFFSET($CX$3,0,0,'Données projet'!$E$13+1,1))-AVERAGE(OFFSET($H$3,0,0,'Données projet'!$E$13+1,1))</f>
        <v>310.81258463659196</v>
      </c>
      <c r="CZ75" s="62">
        <f t="shared" si="96"/>
        <v>287.31099756692083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61.505185945190178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3.4615384615384643</v>
      </c>
      <c r="DO75" s="13">
        <f>IF('Données projet'!$A$166&gt;35,DO74+DN75-DW74,IF(A75&lt;'Données projet'!$A$166,$DL$205^A75,IF(A75='Données projet'!$A$166,'Données projet'!$B$166,DO74+DN75-DW74)))</f>
        <v>182.56410256410243</v>
      </c>
      <c r="DP75" s="18">
        <f>DO75*VLOOKUP('Données projet'!$B$14,Paramètres!$A$1:$I$89,3,0)*VLOOKUP('Données projet'!$B$14,Paramètres!$A$1:$I$89,5,0)</f>
        <v>190.81599999999989</v>
      </c>
      <c r="DQ75" s="14">
        <f t="shared" si="97"/>
        <v>47.720313844242689</v>
      </c>
      <c r="DR75" s="22">
        <f t="shared" si="70"/>
        <v>415.45074661205581</v>
      </c>
      <c r="DS75" s="62">
        <f t="shared" si="71"/>
        <v>677.6364284110864</v>
      </c>
      <c r="DT75" s="62">
        <f ca="1">AVERAGE(OFFSET($DS$3,0,0,'Données projet'!$E$14+1,1))-AVERAGE(OFFSET($H$3,0,0,'Données projet'!$E$14+1,1))</f>
        <v>431.19274104373625</v>
      </c>
      <c r="DU75" s="62">
        <f t="shared" si="98"/>
        <v>264.67919175178133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61.505185945190178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9.9551282051282044</v>
      </c>
      <c r="EJ75" s="13">
        <f>IF('Données projet'!$A$192&gt;35,EJ74+EI75-ER74,IF(A75&lt;'Données projet'!$A$192,$EG$205^A75,IF(A75='Données projet'!$A$192,'Données projet'!$B$192,EJ74+EI75-ER74)))</f>
        <v>330.61153846153832</v>
      </c>
      <c r="EK75" s="18">
        <f>EJ75*VLOOKUP('Données projet'!$B$15,Paramètres!$A$1:$I$89,3,0)*VLOOKUP('Données projet'!$B$15,Paramètres!$A$1:$I$89,5,0)</f>
        <v>154.72619999999992</v>
      </c>
      <c r="EL75" s="14">
        <f t="shared" si="99"/>
        <v>39.650684697457002</v>
      </c>
      <c r="EM75" s="22">
        <f t="shared" si="73"/>
        <v>338.53974084807078</v>
      </c>
      <c r="EN75" s="62">
        <f t="shared" si="74"/>
        <v>600.72542264710137</v>
      </c>
      <c r="EO75" s="62">
        <f ca="1">AVERAGE(OFFSET($EN$3,0,0,'Données projet'!$E$15+1,1))-AVERAGE(OFFSET($H$3,0,0,'Données projet'!$E$15+1,1))</f>
        <v>291.68530745507815</v>
      </c>
      <c r="EP75" s="62">
        <f t="shared" si="100"/>
        <v>175.95121106728979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0</v>
      </c>
      <c r="EZ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61.505185945190178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3.6</v>
      </c>
      <c r="FE75" s="13">
        <f>IF('Données projet'!$A$218&gt;35,FE74+FD75-FM74,IF(A75&lt;'Données projet'!$A$218,$FB$205^A75,IF(A75='Données projet'!$A$218,'Données projet'!$B$218,FE74+FD75-FM74)))</f>
        <v>179.19999999999982</v>
      </c>
      <c r="FF75" s="18">
        <f>FE75*VLOOKUP('Données projet'!$B$16,Paramètres!$A$1:$I$89,3,0)*VLOOKUP('Données projet'!$B$16,Paramètres!$A$1:$I$89,5,0)</f>
        <v>117.41183999999988</v>
      </c>
      <c r="FG75" s="14">
        <f t="shared" si="101"/>
        <v>31.070589593507016</v>
      </c>
      <c r="FH75" s="22">
        <f t="shared" si="76"/>
        <v>258.60689820869118</v>
      </c>
      <c r="FI75" s="62">
        <f t="shared" si="77"/>
        <v>520.79258000772188</v>
      </c>
      <c r="FJ75" s="62">
        <f ca="1">AVERAGE(OFFSET($FI$3,0,0,'Données projet'!$E$16+1,1))-AVERAGE(OFFSET($H$3,0,0,'Données projet'!$E$16+1,1))</f>
        <v>248.75689726928428</v>
      </c>
      <c r="FK75" s="62">
        <f t="shared" si="102"/>
        <v>232.02291680388336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projet'!$B$16,Paramètres!$A$1:$I$89,3,0)*0.475*44/12</f>
        <v>0</v>
      </c>
      <c r="FR75" s="23">
        <f>EXP(-LN(2)/25)*FR74+(1-EXP(-LN(2)/25))/(LN(2)/25)*Calculateur!FM75*Calculateur!FO75*VLOOKUP('Données projet'!$B$16,Paramètres!$A$1:$I$89,3,0)*0.475*44/12</f>
        <v>0</v>
      </c>
      <c r="FS75" s="23">
        <f>EXP(-LN(2)/2)*FS74+(1-EXP(-LN(2)/2))/(LN(2)/2)*FM75*FP75*VLOOKUP('Données projet'!$B$16,Paramètres!$A$1:$I$89,3,0)*0.475*44/12</f>
        <v>0</v>
      </c>
      <c r="FT75" s="24">
        <f t="shared" si="78"/>
        <v>0</v>
      </c>
      <c r="FU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61.505185945190178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11.727272727272727</v>
      </c>
      <c r="FZ75" s="13">
        <f>IF('Données projet'!$A$244&gt;35,FZ74+FY75-GH74,IF(A75&lt;'Données projet'!$A$244,$FW$205^A75,IF(A75='Données projet'!$A$244,'Données projet'!$B$244,FZ74+FY75-GH74)))</f>
        <v>295.63636363636374</v>
      </c>
      <c r="GA75" s="18">
        <f>FZ75*VLOOKUP('Données projet'!$B$17,Paramètres!$A$1:$I$89,3,0)*VLOOKUP('Données projet'!$B$17,Paramètres!$A$1:$I$89,5,0)</f>
        <v>176.79054545454554</v>
      </c>
      <c r="GB75" s="14">
        <f t="shared" si="103"/>
        <v>44.607395716532473</v>
      </c>
      <c r="GC75" s="22">
        <f t="shared" si="79"/>
        <v>385.60141420629412</v>
      </c>
      <c r="GD75" s="62">
        <f t="shared" si="80"/>
        <v>647.78709600532477</v>
      </c>
      <c r="GE75" s="62">
        <f ca="1">AVERAGE(OFFSET($GD$3,0,0,'Données projet'!$E$17+1,1))-AVERAGE(OFFSET($H$3,0,0,'Données projet'!$E$17+1,1))</f>
        <v>315.909549580511</v>
      </c>
      <c r="GF75" s="62">
        <f t="shared" si="104"/>
        <v>208.56856525402051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projet'!$B$17,Paramètres!$A$1:$I$89,3,0)*0.475*44/12</f>
        <v>0</v>
      </c>
      <c r="GM75" s="23">
        <f>EXP(-LN(2)/25)*GM74+(1-EXP(-LN(2)/25))/(LN(2)/25)*Calculateur!GH75*Calculateur!GJ75*VLOOKUP('Données projet'!$B$17,Paramètres!$A$1:$I$89,3,0)*0.475*44/12</f>
        <v>0</v>
      </c>
      <c r="GN75" s="23">
        <f>EXP(-LN(2)/2)*GN74+(1-EXP(-LN(2)/2))/(LN(2)/2)*GH75*GK75*VLOOKUP('Données projet'!$B$17,Paramètres!$A$1:$I$89,3,0)*0.475*44/12</f>
        <v>0</v>
      </c>
      <c r="GO75" s="23">
        <f t="shared" si="81"/>
        <v>0</v>
      </c>
      <c r="GP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61.505185945190178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3.333333333333337</v>
      </c>
      <c r="GU75" s="13">
        <f>IF('Données projet'!$A$270&gt;35,GU74+GT75-HC74,IF(A75&lt;'Données projet'!$A$270,$GR$205^A75,IF(A75='Données projet'!$A$270,'Données projet'!$B$270,GU74+GT75-HC74)))</f>
        <v>167.56410256410263</v>
      </c>
      <c r="GV75" s="18">
        <f>GU75*VLOOKUP('Données projet'!$B$18,Paramètres!$A$1:$I$89,3,0)*VLOOKUP('Données projet'!$B$18,Paramètres!$A$1:$I$89,5,0)</f>
        <v>112.40200000000006</v>
      </c>
      <c r="GW75" s="14">
        <f t="shared" si="105"/>
        <v>29.89620105833643</v>
      </c>
      <c r="GX75" s="22">
        <f t="shared" si="82"/>
        <v>247.83603350993602</v>
      </c>
      <c r="GY75" s="62">
        <f t="shared" si="83"/>
        <v>510.02171530896669</v>
      </c>
      <c r="GZ75" s="62">
        <f ca="1">AVERAGE(OFFSET($GY$3,0,0,'Données projet'!$E$18+1,1))-AVERAGE(OFFSET($H$3,0,0,'Données projet'!$E$18+1,1))</f>
        <v>254.35742752782755</v>
      </c>
      <c r="HA75" s="62">
        <f t="shared" si="106"/>
        <v>171.79611712137395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>
        <f>EXP(-LN(2)/35)*HG74+(1-EXP(-LN(2)/35))/(LN(2)/35)*HC75*HD75*VLOOKUP('Données projet'!$B$18,Paramètres!$A$1:$I$89,3,0)*0.475*44/12</f>
        <v>0</v>
      </c>
      <c r="HH75" s="23">
        <f>EXP(-LN(2)/25)*HH74+(1-EXP(-LN(2)/25))/(LN(2)/25)*Calculateur!HC75*Calculateur!HE75*VLOOKUP('Données projet'!$B$18,Paramètres!$A$1:$I$89,3,0)*0.475*44/12</f>
        <v>0</v>
      </c>
      <c r="HI75" s="23">
        <f>EXP(-LN(2)/2)*HI74+(1-EXP(-LN(2)/2))/(LN(2)/2)*HC75*HF75*VLOOKUP('Données projet'!$B$18,Paramètres!$A$1:$I$89,3,0)*0.475*44/12</f>
        <v>0</v>
      </c>
      <c r="HJ75" s="24">
        <f t="shared" si="84"/>
        <v>0</v>
      </c>
    </row>
    <row r="76" spans="1:218" s="5" customFormat="1" x14ac:dyDescent="0.3">
      <c r="A76" s="11">
        <f t="shared" si="85"/>
        <v>73</v>
      </c>
      <c r="B76" s="76">
        <f>'Scénario référence'!$B$16*5+'Scénario référence'!$B$17*0+'Scénario référence'!$B$18*5</f>
        <v>3.9405000000000001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14.448500000000001</v>
      </c>
      <c r="H76" s="69">
        <f t="shared" si="56"/>
        <v>161.30656666666667</v>
      </c>
      <c r="I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61.652551977482041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5.3778846153846125</v>
      </c>
      <c r="N76" s="14">
        <f>IF('Données projet'!$A$36&gt;35,N75+M76-V75,IF(A76&lt;'Données projet'!$A$36,$K$205^A76,IF(A76='Données projet'!$A$36,'Données projet'!$B$36,N75+M76-V75)))</f>
        <v>222.0451923076923</v>
      </c>
      <c r="O76" s="14">
        <f>N76*VLOOKUP('Données projet'!$B$9,Paramètres!$A$1:$I$89,3,0)*VLOOKUP('Données projet'!$B$9,Paramètres!$A$1:$I$89,5,0)</f>
        <v>129.89643750000002</v>
      </c>
      <c r="P76" s="14">
        <f t="shared" si="87"/>
        <v>33.972427969435074</v>
      </c>
      <c r="Q76" s="22">
        <f t="shared" si="54"/>
        <v>285.40494069259944</v>
      </c>
      <c r="R76" s="62">
        <f t="shared" si="55"/>
        <v>548.13096461003352</v>
      </c>
      <c r="S76" s="62">
        <f ca="1">AVERAGE(OFFSET($R$3,0,0,'Données projet'!$E$9+1,1))-AVERAGE(OFFSET($H$3,0,0,'Données projet'!$E$9+1,1))</f>
        <v>210.54472399593521</v>
      </c>
      <c r="T76" s="62">
        <f t="shared" si="88"/>
        <v>181.14158435194193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61.652551977482041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2.2600000000000025</v>
      </c>
      <c r="AI76" s="14">
        <f>IF('Données projet'!$A$62&gt;35,AI75+AH76-AQ75,IF(A76&lt;'Données projet'!$A$62,$AF$205^A76,IF(A76='Données projet'!$A$62,'Données projet'!$B$62,AI75+AH76-AQ75)))</f>
        <v>273.67999999999989</v>
      </c>
      <c r="AJ76" s="14">
        <f>AI76*VLOOKUP('Données projet'!$B$10,Paramètres!$A$1:$I$89,3,0)*VLOOKUP('Données projet'!$B$10,Paramètres!$A$1:$I$89,5,0)</f>
        <v>142.31359999999995</v>
      </c>
      <c r="AK76" s="14">
        <f t="shared" si="89"/>
        <v>36.826512109226634</v>
      </c>
      <c r="AL76" s="22">
        <f t="shared" si="58"/>
        <v>312.00236192356959</v>
      </c>
      <c r="AM76" s="62">
        <f t="shared" si="59"/>
        <v>574.72838584100373</v>
      </c>
      <c r="AN76" s="62">
        <f ca="1">AVERAGE(OFFSET($AM$3,0,0,'Données projet'!$E$10+1,1))-AVERAGE(OFFSET($H$3,0,0,'Données projet'!$E$10+1,1))</f>
        <v>289.05608923588198</v>
      </c>
      <c r="AO76" s="62">
        <f t="shared" si="90"/>
        <v>220.06639020312738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61.652551977482041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1.5783333333333318</v>
      </c>
      <c r="BD76" s="13">
        <f>IF('Données projet'!$A$88&gt;35,BD75+BC76-BL75,IF(A76&lt;'Données projet'!$A$88,$BA$205^A76,IF(A76='Données projet'!$A$88,'Données projet'!$B$88,BD75+BC76-BL75)))</f>
        <v>89.09749999999994</v>
      </c>
      <c r="BE76" s="14">
        <f>BD76*VLOOKUP('Données projet'!$B$11,Paramètres!$A$1:$I$89,3,0)*VLOOKUP('Données projet'!$B$11,Paramètres!$A$1:$I$89,5,0)</f>
        <v>102.64031999999992</v>
      </c>
      <c r="BF76" s="14">
        <f t="shared" si="91"/>
        <v>27.590060152433722</v>
      </c>
      <c r="BG76" s="22">
        <f t="shared" si="61"/>
        <v>226.81791209882192</v>
      </c>
      <c r="BH76" s="62">
        <f t="shared" si="62"/>
        <v>489.54393601625605</v>
      </c>
      <c r="BI76" s="62">
        <f ca="1">AVERAGE(OFFSET($BH$3,0,0,'Données projet'!$E$11+1,1))-AVERAGE(OFFSET($H$3,0,0,'Données projet'!$E$11+1,1))</f>
        <v>299.54950406029354</v>
      </c>
      <c r="BJ76" s="62">
        <f t="shared" si="92"/>
        <v>208.26364698165739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61.652551977482041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3.4615384615384643</v>
      </c>
      <c r="BY76" s="13">
        <f>IF('Données projet'!$A$114&gt;35,BY75+BX76-CG75,IF(A76&lt;'Données projet'!$A$114,$BV$205^A76,IF(A76='Données projet'!$A$114,'Données projet'!$B$114,BY75+BX76-CG75)))</f>
        <v>186.02564102564088</v>
      </c>
      <c r="BZ76" s="14">
        <f>BY76*VLOOKUP('Données projet'!$B$12,Paramètres!$A$1:$I$89,3,0)*VLOOKUP('Données projet'!$B$12,Paramètres!$A$1:$I$89,5,0)</f>
        <v>200.23799999999983</v>
      </c>
      <c r="CA76" s="14">
        <f t="shared" si="93"/>
        <v>49.796469300889598</v>
      </c>
      <c r="CB76" s="22">
        <f t="shared" si="64"/>
        <v>435.4767006990491</v>
      </c>
      <c r="CC76" s="62">
        <f t="shared" si="65"/>
        <v>698.20272461648324</v>
      </c>
      <c r="CD76" s="62">
        <f ca="1">AVERAGE(OFFSET($CC$3,0,0,'Données projet'!$E$12+1,1))-AVERAGE(OFFSET($H$3,0,0,'Données projet'!$E$12+1,1))</f>
        <v>441.30518831297212</v>
      </c>
      <c r="CE76" s="62">
        <f t="shared" si="94"/>
        <v>270.42872405271851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61.652551977482041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2.6</v>
      </c>
      <c r="CT76" s="13">
        <f>IF('Données projet'!$A$140&gt;35,CT75+CS76-DB75,IF(A76&lt;'Données projet'!$A$140,$CQ$205^A76,IF(A76='Données projet'!$A$140,'Données projet'!$B$140,CT75+CS76-DB75)))</f>
        <v>216.79999999999987</v>
      </c>
      <c r="CU76" s="18">
        <f>CT76*VLOOKUP('Données projet'!$B$13,Paramètres!$A$1:$I$89,3,0)*VLOOKUP('Données projet'!$B$13,Paramètres!$A$1:$I$89,5,0)</f>
        <v>189.39647999999991</v>
      </c>
      <c r="CV76" s="14">
        <f t="shared" si="95"/>
        <v>47.406498452084506</v>
      </c>
      <c r="CW76" s="22">
        <f t="shared" si="67"/>
        <v>412.4318541373803</v>
      </c>
      <c r="CX76" s="62">
        <f t="shared" si="68"/>
        <v>675.15787805481443</v>
      </c>
      <c r="CY76" s="62">
        <f ca="1">AVERAGE(OFFSET($CX$3,0,0,'Données projet'!$E$13+1,1))-AVERAGE(OFFSET($H$3,0,0,'Données projet'!$E$13+1,1))</f>
        <v>310.81258463659196</v>
      </c>
      <c r="CZ76" s="62">
        <f t="shared" si="96"/>
        <v>287.31099756692083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61.652551977482041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3.4615384615384643</v>
      </c>
      <c r="DO76" s="13">
        <f>IF('Données projet'!$A$166&gt;35,DO75+DN76-DW75,IF(A76&lt;'Données projet'!$A$166,$DL$205^A76,IF(A76='Données projet'!$A$166,'Données projet'!$B$166,DO75+DN76-DW75)))</f>
        <v>186.02564102564088</v>
      </c>
      <c r="DP76" s="18">
        <f>DO76*VLOOKUP('Données projet'!$B$14,Paramètres!$A$1:$I$89,3,0)*VLOOKUP('Données projet'!$B$14,Paramètres!$A$1:$I$89,5,0)</f>
        <v>194.43399999999986</v>
      </c>
      <c r="DQ76" s="14">
        <f t="shared" si="97"/>
        <v>48.518927278356934</v>
      </c>
      <c r="DR76" s="22">
        <f t="shared" si="70"/>
        <v>423.14301500980469</v>
      </c>
      <c r="DS76" s="62">
        <f t="shared" si="71"/>
        <v>685.86903892723876</v>
      </c>
      <c r="DT76" s="62">
        <f ca="1">AVERAGE(OFFSET($DS$3,0,0,'Données projet'!$E$14+1,1))-AVERAGE(OFFSET($H$3,0,0,'Données projet'!$E$14+1,1))</f>
        <v>431.19274104373625</v>
      </c>
      <c r="DU76" s="62">
        <f t="shared" si="98"/>
        <v>264.67919175178133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61.652551977482041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9.9551282051282044</v>
      </c>
      <c r="EJ76" s="13">
        <f>IF('Données projet'!$A$192&gt;35,EJ75+EI76-ER75,IF(A76&lt;'Données projet'!$A$192,$EG$205^A76,IF(A76='Données projet'!$A$192,'Données projet'!$B$192,EJ75+EI76-ER75)))</f>
        <v>340.56666666666649</v>
      </c>
      <c r="EK76" s="18">
        <f>EJ76*VLOOKUP('Données projet'!$B$15,Paramètres!$A$1:$I$89,3,0)*VLOOKUP('Données projet'!$B$15,Paramètres!$A$1:$I$89,5,0)</f>
        <v>159.38519999999991</v>
      </c>
      <c r="EL76" s="14">
        <f t="shared" si="99"/>
        <v>40.703814494924693</v>
      </c>
      <c r="EM76" s="22">
        <f t="shared" si="73"/>
        <v>348.48836691199364</v>
      </c>
      <c r="EN76" s="62">
        <f t="shared" si="74"/>
        <v>611.21439082942777</v>
      </c>
      <c r="EO76" s="62">
        <f ca="1">AVERAGE(OFFSET($EN$3,0,0,'Données projet'!$E$15+1,1))-AVERAGE(OFFSET($H$3,0,0,'Données projet'!$E$15+1,1))</f>
        <v>291.68530745507815</v>
      </c>
      <c r="EP76" s="62">
        <f t="shared" si="100"/>
        <v>175.95121106728979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0</v>
      </c>
      <c r="EZ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61.652551977482041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3.6</v>
      </c>
      <c r="FE76" s="13">
        <f>IF('Données projet'!$A$218&gt;35,FE75+FD76-FM75,IF(A76&lt;'Données projet'!$A$218,$FB$205^A76,IF(A76='Données projet'!$A$218,'Données projet'!$B$218,FE75+FD76-FM75)))</f>
        <v>182.79999999999981</v>
      </c>
      <c r="FF76" s="18">
        <f>FE76*VLOOKUP('Données projet'!$B$16,Paramètres!$A$1:$I$89,3,0)*VLOOKUP('Données projet'!$B$16,Paramètres!$A$1:$I$89,5,0)</f>
        <v>119.77055999999989</v>
      </c>
      <c r="FG76" s="14">
        <f t="shared" si="101"/>
        <v>31.621480222860772</v>
      </c>
      <c r="FH76" s="22">
        <f t="shared" si="76"/>
        <v>263.67447005481563</v>
      </c>
      <c r="FI76" s="62">
        <f t="shared" si="77"/>
        <v>526.40049397224971</v>
      </c>
      <c r="FJ76" s="62">
        <f ca="1">AVERAGE(OFFSET($FI$3,0,0,'Données projet'!$E$16+1,1))-AVERAGE(OFFSET($H$3,0,0,'Données projet'!$E$16+1,1))</f>
        <v>248.75689726928428</v>
      </c>
      <c r="FK76" s="62">
        <f t="shared" si="102"/>
        <v>232.02291680388336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projet'!$B$16,Paramètres!$A$1:$I$89,3,0)*0.475*44/12</f>
        <v>0</v>
      </c>
      <c r="FR76" s="23">
        <f>EXP(-LN(2)/25)*FR75+(1-EXP(-LN(2)/25))/(LN(2)/25)*Calculateur!FM76*Calculateur!FO76*VLOOKUP('Données projet'!$B$16,Paramètres!$A$1:$I$89,3,0)*0.475*44/12</f>
        <v>0</v>
      </c>
      <c r="FS76" s="23">
        <f>EXP(-LN(2)/2)*FS75+(1-EXP(-LN(2)/2))/(LN(2)/2)*FM76*FP76*VLOOKUP('Données projet'!$B$16,Paramètres!$A$1:$I$89,3,0)*0.475*44/12</f>
        <v>0</v>
      </c>
      <c r="FT76" s="24">
        <f t="shared" si="78"/>
        <v>0</v>
      </c>
      <c r="FU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61.652551977482041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11.727272727272727</v>
      </c>
      <c r="FZ76" s="13">
        <f>IF('Données projet'!$A$244&gt;35,FZ75+FY76-GH75,IF(A76&lt;'Données projet'!$A$244,$FW$205^A76,IF(A76='Données projet'!$A$244,'Données projet'!$B$244,FZ75+FY76-GH75)))</f>
        <v>307.36363636363649</v>
      </c>
      <c r="GA76" s="18">
        <f>FZ76*VLOOKUP('Données projet'!$B$17,Paramètres!$A$1:$I$89,3,0)*VLOOKUP('Données projet'!$B$17,Paramètres!$A$1:$I$89,5,0)</f>
        <v>183.80345454545466</v>
      </c>
      <c r="GB76" s="14">
        <f t="shared" si="103"/>
        <v>46.16735217985719</v>
      </c>
      <c r="GC76" s="22">
        <f t="shared" si="79"/>
        <v>400.53248837991811</v>
      </c>
      <c r="GD76" s="62">
        <f t="shared" si="80"/>
        <v>663.25851229735224</v>
      </c>
      <c r="GE76" s="62">
        <f ca="1">AVERAGE(OFFSET($GD$3,0,0,'Données projet'!$E$17+1,1))-AVERAGE(OFFSET($H$3,0,0,'Données projet'!$E$17+1,1))</f>
        <v>315.909549580511</v>
      </c>
      <c r="GF76" s="62">
        <f t="shared" si="104"/>
        <v>208.56856525402051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projet'!$B$17,Paramètres!$A$1:$I$89,3,0)*0.475*44/12</f>
        <v>0</v>
      </c>
      <c r="GM76" s="23">
        <f>EXP(-LN(2)/25)*GM75+(1-EXP(-LN(2)/25))/(LN(2)/25)*Calculateur!GH76*Calculateur!GJ76*VLOOKUP('Données projet'!$B$17,Paramètres!$A$1:$I$89,3,0)*0.475*44/12</f>
        <v>0</v>
      </c>
      <c r="GN76" s="23">
        <f>EXP(-LN(2)/2)*GN75+(1-EXP(-LN(2)/2))/(LN(2)/2)*GH76*GK76*VLOOKUP('Données projet'!$B$17,Paramètres!$A$1:$I$89,3,0)*0.475*44/12</f>
        <v>0</v>
      </c>
      <c r="GO76" s="23">
        <f t="shared" si="81"/>
        <v>0</v>
      </c>
      <c r="GP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61.652551977482041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3.333333333333337</v>
      </c>
      <c r="GU76" s="13">
        <f>IF('Données projet'!$A$270&gt;35,GU75+GT76-HC75,IF(A76&lt;'Données projet'!$A$270,$GR$205^A76,IF(A76='Données projet'!$A$270,'Données projet'!$B$270,GU75+GT76-HC75)))</f>
        <v>170.89743589743597</v>
      </c>
      <c r="GV76" s="18">
        <f>GU76*VLOOKUP('Données projet'!$B$18,Paramètres!$A$1:$I$89,3,0)*VLOOKUP('Données projet'!$B$18,Paramètres!$A$1:$I$89,5,0)</f>
        <v>114.63800000000006</v>
      </c>
      <c r="GW76" s="14">
        <f t="shared" si="105"/>
        <v>30.421093184845077</v>
      </c>
      <c r="GX76" s="22">
        <f t="shared" si="82"/>
        <v>252.64458729693862</v>
      </c>
      <c r="GY76" s="62">
        <f t="shared" si="83"/>
        <v>515.37061121437273</v>
      </c>
      <c r="GZ76" s="62">
        <f ca="1">AVERAGE(OFFSET($GY$3,0,0,'Données projet'!$E$18+1,1))-AVERAGE(OFFSET($H$3,0,0,'Données projet'!$E$18+1,1))</f>
        <v>254.35742752782755</v>
      </c>
      <c r="HA76" s="62">
        <f t="shared" si="106"/>
        <v>171.79611712137395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>
        <f>EXP(-LN(2)/35)*HG75+(1-EXP(-LN(2)/35))/(LN(2)/35)*HC76*HD76*VLOOKUP('Données projet'!$B$18,Paramètres!$A$1:$I$89,3,0)*0.475*44/12</f>
        <v>0</v>
      </c>
      <c r="HH76" s="23">
        <f>EXP(-LN(2)/25)*HH75+(1-EXP(-LN(2)/25))/(LN(2)/25)*Calculateur!HC76*Calculateur!HE76*VLOOKUP('Données projet'!$B$18,Paramètres!$A$1:$I$89,3,0)*0.475*44/12</f>
        <v>0</v>
      </c>
      <c r="HI76" s="23">
        <f>EXP(-LN(2)/2)*HI75+(1-EXP(-LN(2)/2))/(LN(2)/2)*HC76*HF76*VLOOKUP('Données projet'!$B$18,Paramètres!$A$1:$I$89,3,0)*0.475*44/12</f>
        <v>0</v>
      </c>
      <c r="HJ76" s="24">
        <f t="shared" si="84"/>
        <v>0</v>
      </c>
    </row>
    <row r="77" spans="1:218" s="5" customFormat="1" x14ac:dyDescent="0.3">
      <c r="A77" s="11">
        <f t="shared" si="85"/>
        <v>74</v>
      </c>
      <c r="B77" s="76">
        <f>'Scénario référence'!$B$16*5+'Scénario référence'!$B$17*0+'Scénario référence'!$B$18*5</f>
        <v>3.9405000000000001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14.448500000000001</v>
      </c>
      <c r="H77" s="69">
        <f t="shared" si="56"/>
        <v>161.30656666666667</v>
      </c>
      <c r="I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61.797361538574734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>
        <f>VLOOKUP(A77,'Données projet'!$A$35:$I$55,2,0)</f>
        <v>227.42307692307691</v>
      </c>
      <c r="L77" s="13">
        <f>VLOOKUP(A77,'Données projet'!$A$35:$I$55,9,0)</f>
        <v>5.3778846153846125</v>
      </c>
      <c r="M77" s="13">
        <f t="array" ref="M77">INDEX(L:L,MIN(IF(ISNUMBER(L77:L273),ROW(L77:L273),"")))</f>
        <v>5.3778846153846125</v>
      </c>
      <c r="N77" s="14">
        <f>IF('Données projet'!$A$36&gt;35,N76+M77-V76,IF(A77&lt;'Données projet'!$A$36,$K$205^A77,IF(A77='Données projet'!$A$36,'Données projet'!$B$36,N76+M77-V76)))</f>
        <v>227.42307692307691</v>
      </c>
      <c r="O77" s="14">
        <f>N77*VLOOKUP('Données projet'!$B$9,Paramètres!$A$1:$I$89,3,0)*VLOOKUP('Données projet'!$B$9,Paramètres!$A$1:$I$89,5,0)</f>
        <v>133.04249999999999</v>
      </c>
      <c r="P77" s="14">
        <f t="shared" si="87"/>
        <v>34.698442387497821</v>
      </c>
      <c r="Q77" s="22">
        <f t="shared" si="54"/>
        <v>292.14880799155861</v>
      </c>
      <c r="R77" s="62">
        <f t="shared" si="55"/>
        <v>555.405800299666</v>
      </c>
      <c r="S77" s="62">
        <f ca="1">AVERAGE(OFFSET($R$3,0,0,'Données projet'!$E$9+1,1))-AVERAGE(OFFSET($H$3,0,0,'Données projet'!$E$9+1,1))</f>
        <v>210.54472399593521</v>
      </c>
      <c r="T77" s="62">
        <f t="shared" si="88"/>
        <v>181.14158435194193</v>
      </c>
      <c r="U77" s="16">
        <f>IF(ISNA(VLOOKUP(A77,'Données projet'!$A$35:$I$55,3,0)),0,VLOOKUP(A77,'Données projet'!$A$35:$I$55,3,0))</f>
        <v>3</v>
      </c>
      <c r="V77" s="16">
        <f>IF(ISNA(VLOOKUP(A77,'Données projet'!$A$35:$I$55,4,0)),0,VLOOKUP(A77,'Données projet'!$A$35:$I$55,4,0))</f>
        <v>114.9153846153846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61.797361538574734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2.2600000000000025</v>
      </c>
      <c r="AI77" s="14">
        <f>IF('Données projet'!$A$62&gt;35,AI76+AH77-AQ76,IF(A77&lt;'Données projet'!$A$62,$AF$205^A77,IF(A77='Données projet'!$A$62,'Données projet'!$B$62,AI76+AH77-AQ76)))</f>
        <v>275.93999999999988</v>
      </c>
      <c r="AJ77" s="14">
        <f>AI77*VLOOKUP('Données projet'!$B$10,Paramètres!$A$1:$I$89,3,0)*VLOOKUP('Données projet'!$B$10,Paramètres!$A$1:$I$89,5,0)</f>
        <v>143.48879999999997</v>
      </c>
      <c r="AK77" s="14">
        <f t="shared" si="89"/>
        <v>37.095092027878884</v>
      </c>
      <c r="AL77" s="22">
        <f t="shared" si="58"/>
        <v>314.51694528188898</v>
      </c>
      <c r="AM77" s="62">
        <f t="shared" si="59"/>
        <v>577.77393758999642</v>
      </c>
      <c r="AN77" s="62">
        <f ca="1">AVERAGE(OFFSET($AM$3,0,0,'Données projet'!$E$10+1,1))-AVERAGE(OFFSET($H$3,0,0,'Données projet'!$E$10+1,1))</f>
        <v>289.05608923588198</v>
      </c>
      <c r="AO77" s="62">
        <f t="shared" si="90"/>
        <v>220.06639020312738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61.797361538574734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1.5783333333333318</v>
      </c>
      <c r="BD77" s="13">
        <f>IF('Données projet'!$A$88&gt;35,BD76+BC77-BL76,IF(A77&lt;'Données projet'!$A$88,$BA$205^A77,IF(A77='Données projet'!$A$88,'Données projet'!$B$88,BD76+BC77-BL76)))</f>
        <v>90.675833333333273</v>
      </c>
      <c r="BE77" s="14">
        <f>BD77*VLOOKUP('Données projet'!$B$11,Paramètres!$A$1:$I$89,3,0)*VLOOKUP('Données projet'!$B$11,Paramètres!$A$1:$I$89,5,0)</f>
        <v>104.45855999999993</v>
      </c>
      <c r="BF77" s="14">
        <f t="shared" si="91"/>
        <v>28.021476409089832</v>
      </c>
      <c r="BG77" s="22">
        <f t="shared" si="61"/>
        <v>230.736063412498</v>
      </c>
      <c r="BH77" s="62">
        <f t="shared" si="62"/>
        <v>493.99305572060541</v>
      </c>
      <c r="BI77" s="62">
        <f ca="1">AVERAGE(OFFSET($BH$3,0,0,'Données projet'!$E$11+1,1))-AVERAGE(OFFSET($H$3,0,0,'Données projet'!$E$11+1,1))</f>
        <v>299.54950406029354</v>
      </c>
      <c r="BJ77" s="62">
        <f t="shared" si="92"/>
        <v>208.26364698165739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61.797361538574734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3.4615384615384643</v>
      </c>
      <c r="BY77" s="13">
        <f>IF('Données projet'!$A$114&gt;35,BY76+BX77-CG76,IF(A77&lt;'Données projet'!$A$114,$BV$205^A77,IF(A77='Données projet'!$A$114,'Données projet'!$B$114,BY76+BX77-CG76)))</f>
        <v>189.48717948717933</v>
      </c>
      <c r="BZ77" s="14">
        <f>BY77*VLOOKUP('Données projet'!$B$12,Paramètres!$A$1:$I$89,3,0)*VLOOKUP('Données projet'!$B$12,Paramètres!$A$1:$I$89,5,0)</f>
        <v>203.96399999999983</v>
      </c>
      <c r="CA77" s="14">
        <f t="shared" si="93"/>
        <v>50.614337369874121</v>
      </c>
      <c r="CB77" s="22">
        <f t="shared" si="64"/>
        <v>443.39060425253047</v>
      </c>
      <c r="CC77" s="62">
        <f t="shared" si="65"/>
        <v>706.64759656063779</v>
      </c>
      <c r="CD77" s="62">
        <f ca="1">AVERAGE(OFFSET($CC$3,0,0,'Données projet'!$E$12+1,1))-AVERAGE(OFFSET($H$3,0,0,'Données projet'!$E$12+1,1))</f>
        <v>441.30518831297212</v>
      </c>
      <c r="CE77" s="62">
        <f t="shared" si="94"/>
        <v>270.42872405271851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61.797361538574734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2.6</v>
      </c>
      <c r="CT77" s="13">
        <f>IF('Données projet'!$A$140&gt;35,CT76+CS77-DB76,IF(A77&lt;'Données projet'!$A$140,$CQ$205^A77,IF(A77='Données projet'!$A$140,'Données projet'!$B$140,CT76+CS77-DB76)))</f>
        <v>219.39999999999986</v>
      </c>
      <c r="CU77" s="18">
        <f>CT77*VLOOKUP('Données projet'!$B$13,Paramètres!$A$1:$I$89,3,0)*VLOOKUP('Données projet'!$B$13,Paramètres!$A$1:$I$89,5,0)</f>
        <v>191.6678399999999</v>
      </c>
      <c r="CV77" s="14">
        <f t="shared" si="95"/>
        <v>47.908500825580958</v>
      </c>
      <c r="CW77" s="22">
        <f t="shared" si="67"/>
        <v>417.26212693788665</v>
      </c>
      <c r="CX77" s="62">
        <f t="shared" si="68"/>
        <v>680.51911924599403</v>
      </c>
      <c r="CY77" s="62">
        <f ca="1">AVERAGE(OFFSET($CX$3,0,0,'Données projet'!$E$13+1,1))-AVERAGE(OFFSET($H$3,0,0,'Données projet'!$E$13+1,1))</f>
        <v>310.81258463659196</v>
      </c>
      <c r="CZ77" s="62">
        <f t="shared" si="96"/>
        <v>287.31099756692083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61.797361538574734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3.4615384615384643</v>
      </c>
      <c r="DO77" s="13">
        <f>IF('Données projet'!$A$166&gt;35,DO76+DN77-DW76,IF(A77&lt;'Données projet'!$A$166,$DL$205^A77,IF(A77='Données projet'!$A$166,'Données projet'!$B$166,DO76+DN77-DW76)))</f>
        <v>189.48717948717933</v>
      </c>
      <c r="DP77" s="18">
        <f>DO77*VLOOKUP('Données projet'!$B$14,Paramètres!$A$1:$I$89,3,0)*VLOOKUP('Données projet'!$B$14,Paramètres!$A$1:$I$89,5,0)</f>
        <v>198.05199999999988</v>
      </c>
      <c r="DQ77" s="14">
        <f t="shared" si="97"/>
        <v>49.315812718619298</v>
      </c>
      <c r="DR77" s="22">
        <f t="shared" si="70"/>
        <v>430.83227381826168</v>
      </c>
      <c r="DS77" s="62">
        <f t="shared" si="71"/>
        <v>694.08926612636901</v>
      </c>
      <c r="DT77" s="62">
        <f ca="1">AVERAGE(OFFSET($DS$3,0,0,'Données projet'!$E$14+1,1))-AVERAGE(OFFSET($H$3,0,0,'Données projet'!$E$14+1,1))</f>
        <v>431.19274104373625</v>
      </c>
      <c r="DU77" s="62">
        <f t="shared" si="98"/>
        <v>264.67919175178133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61.797361538574734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9.9551282051282044</v>
      </c>
      <c r="EJ77" s="13">
        <f>IF('Données projet'!$A$192&gt;35,EJ76+EI77-ER76,IF(A77&lt;'Données projet'!$A$192,$EG$205^A77,IF(A77='Données projet'!$A$192,'Données projet'!$B$192,EJ76+EI77-ER76)))</f>
        <v>350.52179487179467</v>
      </c>
      <c r="EK77" s="18">
        <f>EJ77*VLOOKUP('Données projet'!$B$15,Paramètres!$A$1:$I$89,3,0)*VLOOKUP('Données projet'!$B$15,Paramètres!$A$1:$I$89,5,0)</f>
        <v>164.0441999999999</v>
      </c>
      <c r="EL77" s="14">
        <f t="shared" si="99"/>
        <v>41.753366572621168</v>
      </c>
      <c r="EM77" s="22">
        <f t="shared" si="73"/>
        <v>358.43076178064831</v>
      </c>
      <c r="EN77" s="62">
        <f t="shared" si="74"/>
        <v>621.6877540887557</v>
      </c>
      <c r="EO77" s="62">
        <f ca="1">AVERAGE(OFFSET($EN$3,0,0,'Données projet'!$E$15+1,1))-AVERAGE(OFFSET($H$3,0,0,'Données projet'!$E$15+1,1))</f>
        <v>291.68530745507815</v>
      </c>
      <c r="EP77" s="62">
        <f t="shared" si="100"/>
        <v>175.95121106728979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0</v>
      </c>
      <c r="EZ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61.797361538574734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3.6</v>
      </c>
      <c r="FE77" s="13">
        <f>IF('Données projet'!$A$218&gt;35,FE76+FD77-FM76,IF(A77&lt;'Données projet'!$A$218,$FB$205^A77,IF(A77='Données projet'!$A$218,'Données projet'!$B$218,FE76+FD77-FM76)))</f>
        <v>186.39999999999981</v>
      </c>
      <c r="FF77" s="18">
        <f>FE77*VLOOKUP('Données projet'!$B$16,Paramètres!$A$1:$I$89,3,0)*VLOOKUP('Données projet'!$B$16,Paramètres!$A$1:$I$89,5,0)</f>
        <v>122.12927999999987</v>
      </c>
      <c r="FG77" s="14">
        <f t="shared" si="101"/>
        <v>32.171109382958136</v>
      </c>
      <c r="FH77" s="22">
        <f t="shared" si="76"/>
        <v>268.73984484198519</v>
      </c>
      <c r="FI77" s="62">
        <f t="shared" si="77"/>
        <v>531.99683715009257</v>
      </c>
      <c r="FJ77" s="62">
        <f ca="1">AVERAGE(OFFSET($FI$3,0,0,'Données projet'!$E$16+1,1))-AVERAGE(OFFSET($H$3,0,0,'Données projet'!$E$16+1,1))</f>
        <v>248.75689726928428</v>
      </c>
      <c r="FK77" s="62">
        <f t="shared" si="102"/>
        <v>232.02291680388336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projet'!$B$16,Paramètres!$A$1:$I$89,3,0)*0.475*44/12</f>
        <v>0</v>
      </c>
      <c r="FR77" s="23">
        <f>EXP(-LN(2)/25)*FR76+(1-EXP(-LN(2)/25))/(LN(2)/25)*Calculateur!FM77*Calculateur!FO77*VLOOKUP('Données projet'!$B$16,Paramètres!$A$1:$I$89,3,0)*0.475*44/12</f>
        <v>0</v>
      </c>
      <c r="FS77" s="23">
        <f>EXP(-LN(2)/2)*FS76+(1-EXP(-LN(2)/2))/(LN(2)/2)*FM77*FP77*VLOOKUP('Données projet'!$B$16,Paramètres!$A$1:$I$89,3,0)*0.475*44/12</f>
        <v>0</v>
      </c>
      <c r="FT77" s="24">
        <f t="shared" si="78"/>
        <v>0</v>
      </c>
      <c r="FU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61.797361538574734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11.727272727272727</v>
      </c>
      <c r="FZ77" s="13">
        <f>IF('Données projet'!$A$244&gt;35,FZ76+FY77-GH76,IF(A77&lt;'Données projet'!$A$244,$FW$205^A77,IF(A77='Données projet'!$A$244,'Données projet'!$B$244,FZ76+FY77-GH76)))</f>
        <v>319.09090909090924</v>
      </c>
      <c r="GA77" s="18">
        <f>FZ77*VLOOKUP('Données projet'!$B$17,Paramètres!$A$1:$I$89,3,0)*VLOOKUP('Données projet'!$B$17,Paramètres!$A$1:$I$89,5,0)</f>
        <v>190.81636363636375</v>
      </c>
      <c r="GB77" s="14">
        <f t="shared" si="103"/>
        <v>47.720394198976912</v>
      </c>
      <c r="GC77" s="22">
        <f t="shared" si="79"/>
        <v>415.45151989655164</v>
      </c>
      <c r="GD77" s="62">
        <f t="shared" si="80"/>
        <v>678.70851220465897</v>
      </c>
      <c r="GE77" s="62">
        <f ca="1">AVERAGE(OFFSET($GD$3,0,0,'Données projet'!$E$17+1,1))-AVERAGE(OFFSET($H$3,0,0,'Données projet'!$E$17+1,1))</f>
        <v>315.909549580511</v>
      </c>
      <c r="GF77" s="62">
        <f t="shared" si="104"/>
        <v>208.56856525402051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projet'!$B$17,Paramètres!$A$1:$I$89,3,0)*0.475*44/12</f>
        <v>0</v>
      </c>
      <c r="GM77" s="23">
        <f>EXP(-LN(2)/25)*GM76+(1-EXP(-LN(2)/25))/(LN(2)/25)*Calculateur!GH77*Calculateur!GJ77*VLOOKUP('Données projet'!$B$17,Paramètres!$A$1:$I$89,3,0)*0.475*44/12</f>
        <v>0</v>
      </c>
      <c r="GN77" s="23">
        <f>EXP(-LN(2)/2)*GN76+(1-EXP(-LN(2)/2))/(LN(2)/2)*GH77*GK77*VLOOKUP('Données projet'!$B$17,Paramètres!$A$1:$I$89,3,0)*0.475*44/12</f>
        <v>0</v>
      </c>
      <c r="GO77" s="23">
        <f t="shared" si="81"/>
        <v>0</v>
      </c>
      <c r="GP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61.797361538574734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3.333333333333337</v>
      </c>
      <c r="GU77" s="13">
        <f>IF('Données projet'!$A$270&gt;35,GU76+GT77-HC76,IF(A77&lt;'Données projet'!$A$270,$GR$205^A77,IF(A77='Données projet'!$A$270,'Données projet'!$B$270,GU76+GT77-HC76)))</f>
        <v>174.23076923076931</v>
      </c>
      <c r="GV77" s="18">
        <f>GU77*VLOOKUP('Données projet'!$B$18,Paramètres!$A$1:$I$89,3,0)*VLOOKUP('Données projet'!$B$18,Paramètres!$A$1:$I$89,5,0)</f>
        <v>116.87400000000007</v>
      </c>
      <c r="GW77" s="14">
        <f t="shared" si="105"/>
        <v>30.94479488526294</v>
      </c>
      <c r="GX77" s="22">
        <f t="shared" si="82"/>
        <v>257.45106775849973</v>
      </c>
      <c r="GY77" s="62">
        <f t="shared" si="83"/>
        <v>520.70806006660712</v>
      </c>
      <c r="GZ77" s="62">
        <f ca="1">AVERAGE(OFFSET($GY$3,0,0,'Données projet'!$E$18+1,1))-AVERAGE(OFFSET($H$3,0,0,'Données projet'!$E$18+1,1))</f>
        <v>254.35742752782755</v>
      </c>
      <c r="HA77" s="62">
        <f t="shared" si="106"/>
        <v>171.79611712137395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>
        <f>EXP(-LN(2)/35)*HG76+(1-EXP(-LN(2)/35))/(LN(2)/35)*HC77*HD77*VLOOKUP('Données projet'!$B$18,Paramètres!$A$1:$I$89,3,0)*0.475*44/12</f>
        <v>0</v>
      </c>
      <c r="HH77" s="23">
        <f>EXP(-LN(2)/25)*HH76+(1-EXP(-LN(2)/25))/(LN(2)/25)*Calculateur!HC77*Calculateur!HE77*VLOOKUP('Données projet'!$B$18,Paramètres!$A$1:$I$89,3,0)*0.475*44/12</f>
        <v>0</v>
      </c>
      <c r="HI77" s="23">
        <f>EXP(-LN(2)/2)*HI76+(1-EXP(-LN(2)/2))/(LN(2)/2)*HC77*HF77*VLOOKUP('Données projet'!$B$18,Paramètres!$A$1:$I$89,3,0)*0.475*44/12</f>
        <v>0</v>
      </c>
      <c r="HJ77" s="24">
        <f t="shared" si="84"/>
        <v>0</v>
      </c>
    </row>
    <row r="78" spans="1:218" s="5" customFormat="1" x14ac:dyDescent="0.3">
      <c r="A78" s="11">
        <f t="shared" si="85"/>
        <v>75</v>
      </c>
      <c r="B78" s="76">
        <f>'Scénario référence'!$B$16*5+'Scénario référence'!$B$17*0+'Scénario référence'!$B$18*5</f>
        <v>3.9405000000000001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14.448500000000001</v>
      </c>
      <c r="H78" s="69">
        <f t="shared" si="56"/>
        <v>161.30656666666667</v>
      </c>
      <c r="I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61.939658977528147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3.5471153846153847</v>
      </c>
      <c r="N78" s="14">
        <f>IF('Données projet'!$A$36&gt;35,N77+M78-V77,IF(A78&lt;'Données projet'!$A$36,$K$205^A78,IF(A78='Données projet'!$A$36,'Données projet'!$B$36,N77+M78-V77)))</f>
        <v>116.05480769230769</v>
      </c>
      <c r="O78" s="14">
        <f>N78*VLOOKUP('Données projet'!$B$9,Paramètres!$A$1:$I$89,3,0)*VLOOKUP('Données projet'!$B$9,Paramètres!$A$1:$I$89,5,0)</f>
        <v>67.892062500000009</v>
      </c>
      <c r="P78" s="14">
        <f t="shared" si="87"/>
        <v>19.149054506777464</v>
      </c>
      <c r="Q78" s="22">
        <f t="shared" si="54"/>
        <v>151.59661212013742</v>
      </c>
      <c r="R78" s="62">
        <f t="shared" si="55"/>
        <v>415.37536170440734</v>
      </c>
      <c r="S78" s="62">
        <f ca="1">AVERAGE(OFFSET($R$3,0,0,'Données projet'!$E$9+1,1))-AVERAGE(OFFSET($H$3,0,0,'Données projet'!$E$9+1,1))</f>
        <v>210.54472399593521</v>
      </c>
      <c r="T78" s="62">
        <f t="shared" si="88"/>
        <v>181.14158435194193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61.939658977528147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278.2</v>
      </c>
      <c r="AG78" s="13">
        <f>VLOOKUP(A78,'Données projet'!$A$61:$I$81,9,0)</f>
        <v>2.2600000000000025</v>
      </c>
      <c r="AH78" s="13">
        <f t="array" ref="AH78">INDEX(AG:AG,MIN(IF(ISNUMBER(AG78:AG274),ROW(AG78:AG274),"")))</f>
        <v>2.2600000000000025</v>
      </c>
      <c r="AI78" s="14">
        <f>IF('Données projet'!$A$62&gt;35,AI77+AH78-AQ77,IF(A78&lt;'Données projet'!$A$62,$AF$205^A78,IF(A78='Données projet'!$A$62,'Données projet'!$B$62,AI77+AH78-AQ77)))</f>
        <v>278.19999999999987</v>
      </c>
      <c r="AJ78" s="14">
        <f>AI78*VLOOKUP('Données projet'!$B$10,Paramètres!$A$1:$I$89,3,0)*VLOOKUP('Données projet'!$B$10,Paramètres!$A$1:$I$89,5,0)</f>
        <v>144.66399999999996</v>
      </c>
      <c r="AK78" s="14">
        <f t="shared" si="89"/>
        <v>37.363416018158688</v>
      </c>
      <c r="AL78" s="22">
        <f t="shared" si="58"/>
        <v>317.03108289829294</v>
      </c>
      <c r="AM78" s="62">
        <f t="shared" si="59"/>
        <v>580.8098324825628</v>
      </c>
      <c r="AN78" s="62">
        <f ca="1">AVERAGE(OFFSET($AM$3,0,0,'Données projet'!$E$10+1,1))-AVERAGE(OFFSET($H$3,0,0,'Données projet'!$E$10+1,1))</f>
        <v>289.05608923588198</v>
      </c>
      <c r="AO78" s="62">
        <f t="shared" si="90"/>
        <v>220.06639020312738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61.939658977528147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1.5783333333333318</v>
      </c>
      <c r="BD78" s="13">
        <f>IF('Données projet'!$A$88&gt;35,BD77+BC78-BL77,IF(A78&lt;'Données projet'!$A$88,$BA$205^A78,IF(A78='Données projet'!$A$88,'Données projet'!$B$88,BD77+BC78-BL77)))</f>
        <v>92.254166666666606</v>
      </c>
      <c r="BE78" s="14">
        <f>BD78*VLOOKUP('Données projet'!$B$11,Paramètres!$A$1:$I$89,3,0)*VLOOKUP('Données projet'!$B$11,Paramètres!$A$1:$I$89,5,0)</f>
        <v>106.27679999999992</v>
      </c>
      <c r="BF78" s="14">
        <f t="shared" si="91"/>
        <v>28.45201941300353</v>
      </c>
      <c r="BG78" s="22">
        <f t="shared" si="61"/>
        <v>234.65269381098105</v>
      </c>
      <c r="BH78" s="62">
        <f t="shared" si="62"/>
        <v>498.43144339525099</v>
      </c>
      <c r="BI78" s="62">
        <f ca="1">AVERAGE(OFFSET($BH$3,0,0,'Données projet'!$E$11+1,1))-AVERAGE(OFFSET($H$3,0,0,'Données projet'!$E$11+1,1))</f>
        <v>299.54950406029354</v>
      </c>
      <c r="BJ78" s="62">
        <f t="shared" si="92"/>
        <v>208.26364698165739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61.939658977528147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192.94871794871796</v>
      </c>
      <c r="BW78" s="13">
        <f>VLOOKUP(A78,'Données projet'!$A$113:$I$133,9,0)</f>
        <v>3.4615384615384643</v>
      </c>
      <c r="BX78" s="13">
        <f t="array" ref="BX78">INDEX(BW:BW,MIN(IF(ISNUMBER(BW78:BW274),ROW(BW78:BW274),"")))</f>
        <v>3.4615384615384643</v>
      </c>
      <c r="BY78" s="13">
        <f>IF('Données projet'!$A$114&gt;35,BY77+BX78-CG77,IF(A78&lt;'Données projet'!$A$114,$BV$205^A78,IF(A78='Données projet'!$A$114,'Données projet'!$B$114,BY77+BX78-CG77)))</f>
        <v>192.94871794871779</v>
      </c>
      <c r="BZ78" s="14">
        <f>BY78*VLOOKUP('Données projet'!$B$12,Paramètres!$A$1:$I$89,3,0)*VLOOKUP('Données projet'!$B$12,Paramètres!$A$1:$I$89,5,0)</f>
        <v>207.68999999999983</v>
      </c>
      <c r="CA78" s="14">
        <f t="shared" si="93"/>
        <v>51.430468080360896</v>
      </c>
      <c r="CB78" s="22">
        <f t="shared" si="64"/>
        <v>451.30148190662823</v>
      </c>
      <c r="CC78" s="62">
        <f t="shared" si="65"/>
        <v>715.08023149089809</v>
      </c>
      <c r="CD78" s="62">
        <f ca="1">AVERAGE(OFFSET($CC$3,0,0,'Données projet'!$E$12+1,1))-AVERAGE(OFFSET($H$3,0,0,'Données projet'!$E$12+1,1))</f>
        <v>441.30518831297212</v>
      </c>
      <c r="CE78" s="62">
        <f t="shared" si="94"/>
        <v>270.42872405271851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61.939658977528147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222</v>
      </c>
      <c r="CR78" s="13">
        <f>VLOOKUP(A78,'Données projet'!$A$139:$I$159,9,0)</f>
        <v>2.6</v>
      </c>
      <c r="CS78" s="13">
        <f t="array" ref="CS78">INDEX(CR:CR,MIN(IF(ISNUMBER(CR78:CR274),ROW(CR78:CR274),"")))</f>
        <v>2.6</v>
      </c>
      <c r="CT78" s="13">
        <f>IF('Données projet'!$A$140&gt;35,CT77+CS78-DB77,IF(A78&lt;'Données projet'!$A$140,$CQ$205^A78,IF(A78='Données projet'!$A$140,'Données projet'!$B$140,CT77+CS78-DB77)))</f>
        <v>221.99999999999986</v>
      </c>
      <c r="CU78" s="18">
        <f>CT78*VLOOKUP('Données projet'!$B$13,Paramètres!$A$1:$I$89,3,0)*VLOOKUP('Données projet'!$B$13,Paramètres!$A$1:$I$89,5,0)</f>
        <v>193.93919999999991</v>
      </c>
      <c r="CV78" s="14">
        <f t="shared" si="95"/>
        <v>48.409811198069342</v>
      </c>
      <c r="CW78" s="22">
        <f t="shared" si="67"/>
        <v>422.091194503304</v>
      </c>
      <c r="CX78" s="62">
        <f t="shared" si="68"/>
        <v>685.86994408757391</v>
      </c>
      <c r="CY78" s="62">
        <f ca="1">AVERAGE(OFFSET($CX$3,0,0,'Données projet'!$E$13+1,1))-AVERAGE(OFFSET($H$3,0,0,'Données projet'!$E$13+1,1))</f>
        <v>310.81258463659196</v>
      </c>
      <c r="CZ78" s="62">
        <f t="shared" si="96"/>
        <v>287.31099756692083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61.939658977528147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192.94871794871796</v>
      </c>
      <c r="DM78" s="13">
        <f>VLOOKUP(A78,'Données projet'!$A$165:$I$185,9,0)</f>
        <v>3.4615384615384643</v>
      </c>
      <c r="DN78" s="13">
        <f t="array" ref="DN78">INDEX(DM:DM,MIN(IF(ISNUMBER(DM78:DM274),ROW(DM78:DM274),"")))</f>
        <v>3.4615384615384643</v>
      </c>
      <c r="DO78" s="13">
        <f>IF('Données projet'!$A$166&gt;35,DO77+DN78-DW77,IF(A78&lt;'Données projet'!$A$166,$DL$205^A78,IF(A78='Données projet'!$A$166,'Données projet'!$B$166,DO77+DN78-DW77)))</f>
        <v>192.94871794871779</v>
      </c>
      <c r="DP78" s="18">
        <f>DO78*VLOOKUP('Données projet'!$B$14,Paramètres!$A$1:$I$89,3,0)*VLOOKUP('Données projet'!$B$14,Paramètres!$A$1:$I$89,5,0)</f>
        <v>201.66999999999987</v>
      </c>
      <c r="DQ78" s="14">
        <f t="shared" si="97"/>
        <v>50.111005372790743</v>
      </c>
      <c r="DR78" s="22">
        <f t="shared" si="70"/>
        <v>438.51858435761028</v>
      </c>
      <c r="DS78" s="62">
        <f t="shared" si="71"/>
        <v>702.2973339418802</v>
      </c>
      <c r="DT78" s="62">
        <f ca="1">AVERAGE(OFFSET($DS$3,0,0,'Données projet'!$E$14+1,1))-AVERAGE(OFFSET($H$3,0,0,'Données projet'!$E$14+1,1))</f>
        <v>431.19274104373625</v>
      </c>
      <c r="DU78" s="62">
        <f t="shared" si="98"/>
        <v>264.67919175178133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61.939658977528147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>
        <f>VLOOKUP(A78,'Données projet'!$A$191:$I$211,2,0)</f>
        <v>360.47692307692307</v>
      </c>
      <c r="EH78" s="13">
        <f>VLOOKUP(A78,'Données projet'!$A$191:$I$211,9,0)</f>
        <v>9.9551282051282044</v>
      </c>
      <c r="EI78" s="13">
        <f t="array" ref="EI78">INDEX(EH:EH,MIN(IF(ISNUMBER(EH78:EH274),ROW(EH78:EH274),"")))</f>
        <v>9.9551282051282044</v>
      </c>
      <c r="EJ78" s="13">
        <f>IF('Données projet'!$A$192&gt;35,EJ77+EI78-ER77,IF(A78&lt;'Données projet'!$A$192,$EG$205^A78,IF(A78='Données projet'!$A$192,'Données projet'!$B$192,EJ77+EI78-ER77)))</f>
        <v>360.47692307692284</v>
      </c>
      <c r="EK78" s="18">
        <f>EJ78*VLOOKUP('Données projet'!$B$15,Paramètres!$A$1:$I$89,3,0)*VLOOKUP('Données projet'!$B$15,Paramètres!$A$1:$I$89,5,0)</f>
        <v>168.70319999999987</v>
      </c>
      <c r="EL78" s="14">
        <f t="shared" si="99"/>
        <v>42.799454211954576</v>
      </c>
      <c r="EM78" s="22">
        <f t="shared" si="73"/>
        <v>368.36712275248732</v>
      </c>
      <c r="EN78" s="62">
        <f t="shared" si="74"/>
        <v>632.14587233675729</v>
      </c>
      <c r="EO78" s="62">
        <f ca="1">AVERAGE(OFFSET($EN$3,0,0,'Données projet'!$E$15+1,1))-AVERAGE(OFFSET($H$3,0,0,'Données projet'!$E$15+1,1))</f>
        <v>291.68530745507815</v>
      </c>
      <c r="EP78" s="62">
        <f t="shared" si="100"/>
        <v>175.95121106728979</v>
      </c>
      <c r="EQ78" s="16">
        <f>IF(ISNA(VLOOKUP(A78,'Données projet'!$A$191:$I$211,3,0)),0,VLOOKUP(A78,'Données projet'!$A$191:$I$211,3,0))</f>
        <v>3</v>
      </c>
      <c r="ER78" s="16">
        <f>IF(ISNA(VLOOKUP(A78,'Données projet'!$A$191:$I$211,4,0)),0,VLOOKUP(A78,'Données projet'!$A$191:$I$211,4,0))</f>
        <v>85.361538461538458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0</v>
      </c>
      <c r="EZ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61.939658977528147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>
        <f>VLOOKUP(A78,'Données projet'!$A$217:$I$237,2,0)</f>
        <v>190</v>
      </c>
      <c r="FC78" s="13">
        <f>VLOOKUP(A78,'Données projet'!$A$217:$I$237,9,0)</f>
        <v>3.6</v>
      </c>
      <c r="FD78" s="13">
        <f t="array" ref="FD78">INDEX(FC:FC,MIN(IF(ISNUMBER(FC78:FC274),ROW(FC78:FC274),"")))</f>
        <v>3.6</v>
      </c>
      <c r="FE78" s="13">
        <f>IF('Données projet'!$A$218&gt;35,FE77+FD78-FM77,IF(A78&lt;'Données projet'!$A$218,$FB$205^A78,IF(A78='Données projet'!$A$218,'Données projet'!$B$218,FE77+FD78-FM77)))</f>
        <v>189.9999999999998</v>
      </c>
      <c r="FF78" s="18">
        <f>FE78*VLOOKUP('Données projet'!$B$16,Paramètres!$A$1:$I$89,3,0)*VLOOKUP('Données projet'!$B$16,Paramètres!$A$1:$I$89,5,0)</f>
        <v>124.48799999999987</v>
      </c>
      <c r="FG78" s="14">
        <f t="shared" si="101"/>
        <v>32.719504245667238</v>
      </c>
      <c r="FH78" s="22">
        <f t="shared" si="76"/>
        <v>273.80306989453686</v>
      </c>
      <c r="FI78" s="62">
        <f t="shared" si="77"/>
        <v>537.58181947880678</v>
      </c>
      <c r="FJ78" s="62">
        <f ca="1">AVERAGE(OFFSET($FI$3,0,0,'Données projet'!$E$16+1,1))-AVERAGE(OFFSET($H$3,0,0,'Données projet'!$E$16+1,1))</f>
        <v>248.75689726928428</v>
      </c>
      <c r="FK78" s="62">
        <f t="shared" si="102"/>
        <v>232.02291680388336</v>
      </c>
      <c r="FL78" s="16">
        <f>IF(ISNA(VLOOKUP(A78,'Données projet'!$A$217:$I$237,3,0)),0,VLOOKUP(A78,'Données projet'!$A$217:$I$237,3,0))</f>
        <v>6</v>
      </c>
      <c r="FM78" s="16">
        <f>IF(ISNA(VLOOKUP(A78,'Données projet'!$A$217:$I$237,4,0)),0,VLOOKUP(A78,'Données projet'!$A$217:$I$237,4,0))</f>
        <v>29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projet'!$B$16,Paramètres!$A$1:$I$89,3,0)*0.475*44/12</f>
        <v>0</v>
      </c>
      <c r="FR78" s="23">
        <f>EXP(-LN(2)/25)*FR77+(1-EXP(-LN(2)/25))/(LN(2)/25)*Calculateur!FM78*Calculateur!FO78*VLOOKUP('Données projet'!$B$16,Paramètres!$A$1:$I$89,3,0)*0.475*44/12</f>
        <v>0</v>
      </c>
      <c r="FS78" s="23">
        <f>EXP(-LN(2)/2)*FS77+(1-EXP(-LN(2)/2))/(LN(2)/2)*FM78*FP78*VLOOKUP('Données projet'!$B$16,Paramètres!$A$1:$I$89,3,0)*0.475*44/12</f>
        <v>0</v>
      </c>
      <c r="FT78" s="24">
        <f t="shared" si="78"/>
        <v>0</v>
      </c>
      <c r="FU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61.939658977528147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11.727272727272727</v>
      </c>
      <c r="FZ78" s="13">
        <f>IF('Données projet'!$A$244&gt;35,FZ77+FY78-GH77,IF(A78&lt;'Données projet'!$A$244,$FW$205^A78,IF(A78='Données projet'!$A$244,'Données projet'!$B$244,FZ77+FY78-GH77)))</f>
        <v>330.81818181818198</v>
      </c>
      <c r="GA78" s="18">
        <f>FZ78*VLOOKUP('Données projet'!$B$17,Paramètres!$A$1:$I$89,3,0)*VLOOKUP('Données projet'!$B$17,Paramètres!$A$1:$I$89,5,0)</f>
        <v>197.82927272727287</v>
      </c>
      <c r="GB78" s="14">
        <f t="shared" si="103"/>
        <v>49.266804997888123</v>
      </c>
      <c r="GC78" s="22">
        <f t="shared" si="79"/>
        <v>430.35900203798877</v>
      </c>
      <c r="GD78" s="62">
        <f t="shared" si="80"/>
        <v>694.13775162225875</v>
      </c>
      <c r="GE78" s="62">
        <f ca="1">AVERAGE(OFFSET($GD$3,0,0,'Données projet'!$E$17+1,1))-AVERAGE(OFFSET($H$3,0,0,'Données projet'!$E$17+1,1))</f>
        <v>315.909549580511</v>
      </c>
      <c r="GF78" s="62">
        <f t="shared" si="104"/>
        <v>208.56856525402051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projet'!$B$17,Paramètres!$A$1:$I$89,3,0)*0.475*44/12</f>
        <v>0</v>
      </c>
      <c r="GM78" s="23">
        <f>EXP(-LN(2)/25)*GM77+(1-EXP(-LN(2)/25))/(LN(2)/25)*Calculateur!GH78*Calculateur!GJ78*VLOOKUP('Données projet'!$B$17,Paramètres!$A$1:$I$89,3,0)*0.475*44/12</f>
        <v>0</v>
      </c>
      <c r="GN78" s="23">
        <f>EXP(-LN(2)/2)*GN77+(1-EXP(-LN(2)/2))/(LN(2)/2)*GH78*GK78*VLOOKUP('Données projet'!$B$17,Paramètres!$A$1:$I$89,3,0)*0.475*44/12</f>
        <v>0</v>
      </c>
      <c r="GO78" s="23">
        <f t="shared" si="81"/>
        <v>0</v>
      </c>
      <c r="GP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61.939658977528147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>
        <f>VLOOKUP(A78,'Données projet'!$A$269:$I$289,2,0)</f>
        <v>177.56410256410257</v>
      </c>
      <c r="GS78" s="13">
        <f>VLOOKUP(A78,'Données projet'!$A$269:$I$289,9,0)</f>
        <v>3.333333333333337</v>
      </c>
      <c r="GT78" s="13">
        <f t="array" ref="GT78">INDEX(GS:GS,MIN(IF(ISNUMBER(GS78:GS274),ROW(GS78:GS274),"")))</f>
        <v>3.333333333333337</v>
      </c>
      <c r="GU78" s="13">
        <f>IF('Données projet'!$A$270&gt;35,GU77+GT78-HC77,IF(A78&lt;'Données projet'!$A$270,$GR$205^A78,IF(A78='Données projet'!$A$270,'Données projet'!$B$270,GU77+GT78-HC77)))</f>
        <v>177.56410256410265</v>
      </c>
      <c r="GV78" s="18">
        <f>GU78*VLOOKUP('Données projet'!$B$18,Paramètres!$A$1:$I$89,3,0)*VLOOKUP('Données projet'!$B$18,Paramètres!$A$1:$I$89,5,0)</f>
        <v>119.11000000000007</v>
      </c>
      <c r="GW78" s="14">
        <f t="shared" si="105"/>
        <v>31.467331560315731</v>
      </c>
      <c r="GX78" s="22">
        <f t="shared" si="82"/>
        <v>262.25551913421668</v>
      </c>
      <c r="GY78" s="62">
        <f t="shared" si="83"/>
        <v>526.0342687184866</v>
      </c>
      <c r="GZ78" s="62">
        <f ca="1">AVERAGE(OFFSET($GY$3,0,0,'Données projet'!$E$18+1,1))-AVERAGE(OFFSET($H$3,0,0,'Données projet'!$E$18+1,1))</f>
        <v>254.35742752782755</v>
      </c>
      <c r="HA78" s="62">
        <f t="shared" si="106"/>
        <v>171.79611712137395</v>
      </c>
      <c r="HB78" s="16">
        <f>IF(ISNA(VLOOKUP(A78,'Données projet'!$A$269:$I$289,3,0)),0,VLOOKUP(A78,'Données projet'!$A$269:$I$289,3,0))</f>
        <v>6</v>
      </c>
      <c r="HC78" s="16">
        <f>IF(ISNA(VLOOKUP(A78,'Données projet'!$A$269:$I$289,4,0)),0,VLOOKUP(A78,'Données projet'!$A$269:$I$289,4,0))</f>
        <v>19.23076923076923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>
        <f>EXP(-LN(2)/35)*HG77+(1-EXP(-LN(2)/35))/(LN(2)/35)*HC78*HD78*VLOOKUP('Données projet'!$B$18,Paramètres!$A$1:$I$89,3,0)*0.475*44/12</f>
        <v>0</v>
      </c>
      <c r="HH78" s="23">
        <f>EXP(-LN(2)/25)*HH77+(1-EXP(-LN(2)/25))/(LN(2)/25)*Calculateur!HC78*Calculateur!HE78*VLOOKUP('Données projet'!$B$18,Paramètres!$A$1:$I$89,3,0)*0.475*44/12</f>
        <v>0</v>
      </c>
      <c r="HI78" s="23">
        <f>EXP(-LN(2)/2)*HI77+(1-EXP(-LN(2)/2))/(LN(2)/2)*HC78*HF78*VLOOKUP('Données projet'!$B$18,Paramètres!$A$1:$I$89,3,0)*0.475*44/12</f>
        <v>0</v>
      </c>
      <c r="HJ78" s="24">
        <f t="shared" si="84"/>
        <v>0</v>
      </c>
    </row>
    <row r="79" spans="1:218" s="5" customFormat="1" x14ac:dyDescent="0.3">
      <c r="A79" s="11">
        <f t="shared" si="85"/>
        <v>76</v>
      </c>
      <c r="B79" s="76">
        <f>'Scénario référence'!$B$16*5+'Scénario référence'!$B$17*0+'Scénario référence'!$B$18*5</f>
        <v>3.9405000000000001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14.448500000000001</v>
      </c>
      <c r="H79" s="69">
        <f t="shared" si="56"/>
        <v>161.30656666666667</v>
      </c>
      <c r="I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62.079487874045135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3.5471153846153847</v>
      </c>
      <c r="N79" s="14">
        <f>IF('Données projet'!$A$36&gt;35,N78+M79-V78,IF(A79&lt;'Données projet'!$A$36,$K$205^A79,IF(A79='Données projet'!$A$36,'Données projet'!$B$36,N78+M79-V78)))</f>
        <v>119.60192307692307</v>
      </c>
      <c r="O79" s="14">
        <f>N79*VLOOKUP('Données projet'!$B$9,Paramètres!$A$1:$I$89,3,0)*VLOOKUP('Données projet'!$B$9,Paramètres!$A$1:$I$89,5,0)</f>
        <v>69.967124999999996</v>
      </c>
      <c r="P79" s="14">
        <f t="shared" si="87"/>
        <v>19.665293327030454</v>
      </c>
      <c r="Q79" s="22">
        <f t="shared" si="54"/>
        <v>156.10979525291137</v>
      </c>
      <c r="R79" s="62">
        <f t="shared" si="55"/>
        <v>420.4012507910769</v>
      </c>
      <c r="S79" s="62">
        <f ca="1">AVERAGE(OFFSET($R$3,0,0,'Données projet'!$E$9+1,1))-AVERAGE(OFFSET($H$3,0,0,'Données projet'!$E$9+1,1))</f>
        <v>210.54472399593521</v>
      </c>
      <c r="T79" s="62">
        <f t="shared" si="88"/>
        <v>181.14158435194193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62.079487874045135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2.0200000000000045</v>
      </c>
      <c r="AI79" s="14">
        <f>IF('Données projet'!$A$62&gt;35,AI78+AH79-AQ78,IF(A79&lt;'Données projet'!$A$62,$AF$205^A79,IF(A79='Données projet'!$A$62,'Données projet'!$B$62,AI78+AH79-AQ78)))</f>
        <v>280.21999999999986</v>
      </c>
      <c r="AJ79" s="14">
        <f>AI79*VLOOKUP('Données projet'!$B$10,Paramètres!$A$1:$I$89,3,0)*VLOOKUP('Données projet'!$B$10,Paramètres!$A$1:$I$89,5,0)</f>
        <v>145.71439999999996</v>
      </c>
      <c r="AK79" s="14">
        <f t="shared" si="89"/>
        <v>37.603030716193146</v>
      </c>
      <c r="AL79" s="22">
        <f t="shared" si="58"/>
        <v>319.27785849736961</v>
      </c>
      <c r="AM79" s="62">
        <f t="shared" si="59"/>
        <v>583.56931403553517</v>
      </c>
      <c r="AN79" s="62">
        <f ca="1">AVERAGE(OFFSET($AM$3,0,0,'Données projet'!$E$10+1,1))-AVERAGE(OFFSET($H$3,0,0,'Données projet'!$E$10+1,1))</f>
        <v>289.05608923588198</v>
      </c>
      <c r="AO79" s="62">
        <f t="shared" si="90"/>
        <v>220.06639020312738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62.079487874045135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1.5783333333333318</v>
      </c>
      <c r="BD79" s="13">
        <f>IF('Données projet'!$A$88&gt;35,BD78+BC79-BL78,IF(A79&lt;'Données projet'!$A$88,$BA$205^A79,IF(A79='Données projet'!$A$88,'Données projet'!$B$88,BD78+BC79-BL78)))</f>
        <v>93.832499999999939</v>
      </c>
      <c r="BE79" s="14">
        <f>BD79*VLOOKUP('Données projet'!$B$11,Paramètres!$A$1:$I$89,3,0)*VLOOKUP('Données projet'!$B$11,Paramètres!$A$1:$I$89,5,0)</f>
        <v>108.09503999999993</v>
      </c>
      <c r="BF79" s="14">
        <f t="shared" si="91"/>
        <v>28.881705828313297</v>
      </c>
      <c r="BG79" s="22">
        <f t="shared" si="61"/>
        <v>238.56783231764553</v>
      </c>
      <c r="BH79" s="62">
        <f t="shared" si="62"/>
        <v>502.85928785581103</v>
      </c>
      <c r="BI79" s="62">
        <f ca="1">AVERAGE(OFFSET($BH$3,0,0,'Données projet'!$E$11+1,1))-AVERAGE(OFFSET($H$3,0,0,'Données projet'!$E$11+1,1))</f>
        <v>299.54950406029354</v>
      </c>
      <c r="BJ79" s="62">
        <f t="shared" si="92"/>
        <v>208.26364698165739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62.079487874045135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3.3333333333333313</v>
      </c>
      <c r="BY79" s="13">
        <f>IF('Données projet'!$A$114&gt;35,BY78+BX79-CG78,IF(A79&lt;'Données projet'!$A$114,$BV$205^A79,IF(A79='Données projet'!$A$114,'Données projet'!$B$114,BY78+BX79-CG78)))</f>
        <v>196.28205128205113</v>
      </c>
      <c r="BZ79" s="14">
        <f>BY79*VLOOKUP('Données projet'!$B$12,Paramètres!$A$1:$I$89,3,0)*VLOOKUP('Données projet'!$B$12,Paramètres!$A$1:$I$89,5,0)</f>
        <v>211.27799999999979</v>
      </c>
      <c r="CA79" s="14">
        <f t="shared" si="93"/>
        <v>52.214762159540925</v>
      </c>
      <c r="CB79" s="22">
        <f t="shared" si="64"/>
        <v>458.91656076120006</v>
      </c>
      <c r="CC79" s="62">
        <f t="shared" si="65"/>
        <v>723.20801629936557</v>
      </c>
      <c r="CD79" s="62">
        <f ca="1">AVERAGE(OFFSET($CC$3,0,0,'Données projet'!$E$12+1,1))-AVERAGE(OFFSET($H$3,0,0,'Données projet'!$E$12+1,1))</f>
        <v>441.30518831297212</v>
      </c>
      <c r="CE79" s="62">
        <f t="shared" si="94"/>
        <v>270.42872405271851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62.079487874045135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2.4</v>
      </c>
      <c r="CT79" s="13">
        <f>IF('Données projet'!$A$140&gt;35,CT78+CS79-DB78,IF(A79&lt;'Données projet'!$A$140,$CQ$205^A79,IF(A79='Données projet'!$A$140,'Données projet'!$B$140,CT78+CS79-DB78)))</f>
        <v>224.39999999999986</v>
      </c>
      <c r="CU79" s="18">
        <f>CT79*VLOOKUP('Données projet'!$B$13,Paramètres!$A$1:$I$89,3,0)*VLOOKUP('Données projet'!$B$13,Paramètres!$A$1:$I$89,5,0)</f>
        <v>196.03583999999989</v>
      </c>
      <c r="CV79" s="14">
        <f t="shared" si="95"/>
        <v>48.871952855623412</v>
      </c>
      <c r="CW79" s="22">
        <f t="shared" si="67"/>
        <v>426.54773922354394</v>
      </c>
      <c r="CX79" s="62">
        <f t="shared" si="68"/>
        <v>690.83919476170945</v>
      </c>
      <c r="CY79" s="62">
        <f ca="1">AVERAGE(OFFSET($CX$3,0,0,'Données projet'!$E$13+1,1))-AVERAGE(OFFSET($H$3,0,0,'Données projet'!$E$13+1,1))</f>
        <v>310.81258463659196</v>
      </c>
      <c r="CZ79" s="62">
        <f t="shared" si="96"/>
        <v>287.31099756692083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62.079487874045135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3.3333333333333313</v>
      </c>
      <c r="DO79" s="13">
        <f>IF('Données projet'!$A$166&gt;35,DO78+DN79-DW78,IF(A79&lt;'Données projet'!$A$166,$DL$205^A79,IF(A79='Données projet'!$A$166,'Données projet'!$B$166,DO78+DN79-DW78)))</f>
        <v>196.28205128205113</v>
      </c>
      <c r="DP79" s="18">
        <f>DO79*VLOOKUP('Données projet'!$B$14,Paramètres!$A$1:$I$89,3,0)*VLOOKUP('Données projet'!$B$14,Paramètres!$A$1:$I$89,5,0)</f>
        <v>205.15399999999985</v>
      </c>
      <c r="DQ79" s="14">
        <f t="shared" si="97"/>
        <v>50.875178173128255</v>
      </c>
      <c r="DR79" s="22">
        <f t="shared" si="70"/>
        <v>445.91748531819809</v>
      </c>
      <c r="DS79" s="62">
        <f t="shared" si="71"/>
        <v>710.2089408563636</v>
      </c>
      <c r="DT79" s="62">
        <f ca="1">AVERAGE(OFFSET($DS$3,0,0,'Données projet'!$E$14+1,1))-AVERAGE(OFFSET($H$3,0,0,'Données projet'!$E$14+1,1))</f>
        <v>431.19274104373625</v>
      </c>
      <c r="DU79" s="62">
        <f t="shared" si="98"/>
        <v>264.67919175178133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62.079487874045135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8.9320512820512761</v>
      </c>
      <c r="EJ79" s="13">
        <f>IF('Données projet'!$A$192&gt;35,EJ78+EI79-ER78,IF(A79&lt;'Données projet'!$A$192,$EG$205^A79,IF(A79='Données projet'!$A$192,'Données projet'!$B$192,EJ78+EI79-ER78)))</f>
        <v>284.04743589743566</v>
      </c>
      <c r="EK79" s="18">
        <f>EJ79*VLOOKUP('Données projet'!$B$15,Paramètres!$A$1:$I$89,3,0)*VLOOKUP('Données projet'!$B$15,Paramètres!$A$1:$I$89,5,0)</f>
        <v>132.93419999999989</v>
      </c>
      <c r="EL79" s="14">
        <f t="shared" si="99"/>
        <v>34.67348355149219</v>
      </c>
      <c r="EM79" s="22">
        <f t="shared" si="73"/>
        <v>291.91671551884872</v>
      </c>
      <c r="EN79" s="62">
        <f t="shared" si="74"/>
        <v>556.20817105701417</v>
      </c>
      <c r="EO79" s="62">
        <f ca="1">AVERAGE(OFFSET($EN$3,0,0,'Données projet'!$E$15+1,1))-AVERAGE(OFFSET($H$3,0,0,'Données projet'!$E$15+1,1))</f>
        <v>291.68530745507815</v>
      </c>
      <c r="EP79" s="62">
        <f t="shared" si="100"/>
        <v>175.95121106728979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0</v>
      </c>
      <c r="EZ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62.079487874045135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3.4</v>
      </c>
      <c r="FE79" s="13">
        <f>IF('Données projet'!$A$218&gt;35,FE78+FD79-FM78,IF(A79&lt;'Données projet'!$A$218,$FB$205^A79,IF(A79='Données projet'!$A$218,'Données projet'!$B$218,FE78+FD79-FM78)))</f>
        <v>164.39999999999981</v>
      </c>
      <c r="FF79" s="18">
        <f>FE79*VLOOKUP('Données projet'!$B$16,Paramètres!$A$1:$I$89,3,0)*VLOOKUP('Données projet'!$B$16,Paramètres!$A$1:$I$89,5,0)</f>
        <v>107.71487999999988</v>
      </c>
      <c r="FG79" s="14">
        <f t="shared" si="101"/>
        <v>28.791936453559583</v>
      </c>
      <c r="FH79" s="22">
        <f t="shared" si="76"/>
        <v>237.74937198994937</v>
      </c>
      <c r="FI79" s="62">
        <f t="shared" si="77"/>
        <v>502.04082752811485</v>
      </c>
      <c r="FJ79" s="62">
        <f ca="1">AVERAGE(OFFSET($FI$3,0,0,'Données projet'!$E$16+1,1))-AVERAGE(OFFSET($H$3,0,0,'Données projet'!$E$16+1,1))</f>
        <v>248.75689726928428</v>
      </c>
      <c r="FK79" s="62">
        <f t="shared" si="102"/>
        <v>232.02291680388336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projet'!$B$16,Paramètres!$A$1:$I$89,3,0)*0.475*44/12</f>
        <v>0</v>
      </c>
      <c r="FR79" s="23">
        <f>EXP(-LN(2)/25)*FR78+(1-EXP(-LN(2)/25))/(LN(2)/25)*Calculateur!FM79*Calculateur!FO79*VLOOKUP('Données projet'!$B$16,Paramètres!$A$1:$I$89,3,0)*0.475*44/12</f>
        <v>0</v>
      </c>
      <c r="FS79" s="23">
        <f>EXP(-LN(2)/2)*FS78+(1-EXP(-LN(2)/2))/(LN(2)/2)*FM79*FP79*VLOOKUP('Données projet'!$B$16,Paramètres!$A$1:$I$89,3,0)*0.475*44/12</f>
        <v>0</v>
      </c>
      <c r="FT79" s="24">
        <f t="shared" si="78"/>
        <v>0</v>
      </c>
      <c r="FU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62.079487874045135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11.727272727272727</v>
      </c>
      <c r="FZ79" s="13">
        <f>IF('Données projet'!$A$244&gt;35,FZ78+FY79-GH78,IF(A79&lt;'Données projet'!$A$244,$FW$205^A79,IF(A79='Données projet'!$A$244,'Données projet'!$B$244,FZ78+FY79-GH78)))</f>
        <v>342.54545454545473</v>
      </c>
      <c r="GA79" s="18">
        <f>FZ79*VLOOKUP('Données projet'!$B$17,Paramètres!$A$1:$I$89,3,0)*VLOOKUP('Données projet'!$B$17,Paramètres!$A$1:$I$89,5,0)</f>
        <v>204.84218181818196</v>
      </c>
      <c r="GB79" s="14">
        <f t="shared" si="103"/>
        <v>50.806846581971655</v>
      </c>
      <c r="GC79" s="22">
        <f t="shared" si="79"/>
        <v>445.25539113026753</v>
      </c>
      <c r="GD79" s="62">
        <f t="shared" si="80"/>
        <v>709.54684666843309</v>
      </c>
      <c r="GE79" s="62">
        <f ca="1">AVERAGE(OFFSET($GD$3,0,0,'Données projet'!$E$17+1,1))-AVERAGE(OFFSET($H$3,0,0,'Données projet'!$E$17+1,1))</f>
        <v>315.909549580511</v>
      </c>
      <c r="GF79" s="62">
        <f t="shared" si="104"/>
        <v>208.56856525402051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projet'!$B$17,Paramètres!$A$1:$I$89,3,0)*0.475*44/12</f>
        <v>0</v>
      </c>
      <c r="GM79" s="23">
        <f>EXP(-LN(2)/25)*GM78+(1-EXP(-LN(2)/25))/(LN(2)/25)*Calculateur!GH79*Calculateur!GJ79*VLOOKUP('Données projet'!$B$17,Paramètres!$A$1:$I$89,3,0)*0.475*44/12</f>
        <v>0</v>
      </c>
      <c r="GN79" s="23">
        <f>EXP(-LN(2)/2)*GN78+(1-EXP(-LN(2)/2))/(LN(2)/2)*GH79*GK79*VLOOKUP('Données projet'!$B$17,Paramètres!$A$1:$I$89,3,0)*0.475*44/12</f>
        <v>0</v>
      </c>
      <c r="GO79" s="23">
        <f t="shared" si="81"/>
        <v>0</v>
      </c>
      <c r="GP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62.079487874045135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3.2051282051282044</v>
      </c>
      <c r="GU79" s="13">
        <f>IF('Données projet'!$A$270&gt;35,GU78+GT79-HC78,IF(A79&lt;'Données projet'!$A$270,$GR$205^A79,IF(A79='Données projet'!$A$270,'Données projet'!$B$270,GU78+GT79-HC78)))</f>
        <v>161.53846153846163</v>
      </c>
      <c r="GV79" s="18">
        <f>GU79*VLOOKUP('Données projet'!$B$18,Paramètres!$A$1:$I$89,3,0)*VLOOKUP('Données projet'!$B$18,Paramètres!$A$1:$I$89,5,0)</f>
        <v>108.36000000000006</v>
      </c>
      <c r="GW79" s="14">
        <f t="shared" si="105"/>
        <v>28.944250626020697</v>
      </c>
      <c r="GX79" s="22">
        <f t="shared" si="82"/>
        <v>239.13823650698612</v>
      </c>
      <c r="GY79" s="62">
        <f t="shared" si="83"/>
        <v>503.42969204515163</v>
      </c>
      <c r="GZ79" s="62">
        <f ca="1">AVERAGE(OFFSET($GY$3,0,0,'Données projet'!$E$18+1,1))-AVERAGE(OFFSET($H$3,0,0,'Données projet'!$E$18+1,1))</f>
        <v>254.35742752782755</v>
      </c>
      <c r="HA79" s="62">
        <f t="shared" si="106"/>
        <v>171.79611712137395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>
        <f>EXP(-LN(2)/35)*HG78+(1-EXP(-LN(2)/35))/(LN(2)/35)*HC79*HD79*VLOOKUP('Données projet'!$B$18,Paramètres!$A$1:$I$89,3,0)*0.475*44/12</f>
        <v>0</v>
      </c>
      <c r="HH79" s="23">
        <f>EXP(-LN(2)/25)*HH78+(1-EXP(-LN(2)/25))/(LN(2)/25)*Calculateur!HC79*Calculateur!HE79*VLOOKUP('Données projet'!$B$18,Paramètres!$A$1:$I$89,3,0)*0.475*44/12</f>
        <v>0</v>
      </c>
      <c r="HI79" s="23">
        <f>EXP(-LN(2)/2)*HI78+(1-EXP(-LN(2)/2))/(LN(2)/2)*HC79*HF79*VLOOKUP('Données projet'!$B$18,Paramètres!$A$1:$I$89,3,0)*0.475*44/12</f>
        <v>0</v>
      </c>
      <c r="HJ79" s="24">
        <f t="shared" si="84"/>
        <v>0</v>
      </c>
    </row>
    <row r="80" spans="1:218" s="5" customFormat="1" x14ac:dyDescent="0.3">
      <c r="A80" s="11">
        <f t="shared" si="85"/>
        <v>77</v>
      </c>
      <c r="B80" s="76">
        <f>'Scénario référence'!$B$16*5+'Scénario référence'!$B$17*0+'Scénario référence'!$B$18*5</f>
        <v>3.9405000000000001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14.448500000000001</v>
      </c>
      <c r="H80" s="69">
        <f t="shared" si="56"/>
        <v>161.30656666666667</v>
      </c>
      <c r="I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62.216891051818124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3.5471153846153847</v>
      </c>
      <c r="N80" s="14">
        <f>IF('Données projet'!$A$36&gt;35,N79+M80-V79,IF(A80&lt;'Données projet'!$A$36,$K$205^A80,IF(A80='Données projet'!$A$36,'Données projet'!$B$36,N79+M80-V79)))</f>
        <v>123.14903846153845</v>
      </c>
      <c r="O80" s="14">
        <f>N80*VLOOKUP('Données projet'!$B$9,Paramètres!$A$1:$I$89,3,0)*VLOOKUP('Données projet'!$B$9,Paramètres!$A$1:$I$89,5,0)</f>
        <v>72.042187499999997</v>
      </c>
      <c r="P80" s="14">
        <f t="shared" si="87"/>
        <v>20.179752808447528</v>
      </c>
      <c r="Q80" s="22">
        <f t="shared" si="54"/>
        <v>160.6198793705461</v>
      </c>
      <c r="R80" s="62">
        <f t="shared" si="55"/>
        <v>425.41514656054585</v>
      </c>
      <c r="S80" s="62">
        <f ca="1">AVERAGE(OFFSET($R$3,0,0,'Données projet'!$E$9+1,1))-AVERAGE(OFFSET($H$3,0,0,'Données projet'!$E$9+1,1))</f>
        <v>210.54472399593521</v>
      </c>
      <c r="T80" s="62">
        <f t="shared" si="88"/>
        <v>181.14158435194193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62.216891051818124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2.0200000000000045</v>
      </c>
      <c r="AI80" s="14">
        <f>IF('Données projet'!$A$62&gt;35,AI79+AH80-AQ79,IF(A80&lt;'Données projet'!$A$62,$AF$205^A80,IF(A80='Données projet'!$A$62,'Données projet'!$B$62,AI79+AH80-AQ79)))</f>
        <v>282.23999999999984</v>
      </c>
      <c r="AJ80" s="14">
        <f>AI80*VLOOKUP('Données projet'!$B$10,Paramètres!$A$1:$I$89,3,0)*VLOOKUP('Données projet'!$B$10,Paramètres!$A$1:$I$89,5,0)</f>
        <v>146.76479999999992</v>
      </c>
      <c r="AK80" s="14">
        <f t="shared" si="89"/>
        <v>37.84244443995663</v>
      </c>
      <c r="AL80" s="22">
        <f t="shared" si="58"/>
        <v>321.52428406625768</v>
      </c>
      <c r="AM80" s="62">
        <f t="shared" si="59"/>
        <v>586.31955125625745</v>
      </c>
      <c r="AN80" s="62">
        <f ca="1">AVERAGE(OFFSET($AM$3,0,0,'Données projet'!$E$10+1,1))-AVERAGE(OFFSET($H$3,0,0,'Données projet'!$E$10+1,1))</f>
        <v>289.05608923588198</v>
      </c>
      <c r="AO80" s="62">
        <f t="shared" si="90"/>
        <v>220.06639020312738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62.216891051818124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1.5783333333333318</v>
      </c>
      <c r="BD80" s="13">
        <f>IF('Données projet'!$A$88&gt;35,BD79+BC80-BL79,IF(A80&lt;'Données projet'!$A$88,$BA$205^A80,IF(A80='Données projet'!$A$88,'Données projet'!$B$88,BD79+BC80-BL79)))</f>
        <v>95.410833333333272</v>
      </c>
      <c r="BE80" s="14">
        <f>BD80*VLOOKUP('Données projet'!$B$11,Paramètres!$A$1:$I$89,3,0)*VLOOKUP('Données projet'!$B$11,Paramètres!$A$1:$I$89,5,0)</f>
        <v>109.91327999999992</v>
      </c>
      <c r="BF80" s="14">
        <f t="shared" si="91"/>
        <v>29.310551726420417</v>
      </c>
      <c r="BG80" s="22">
        <f t="shared" si="61"/>
        <v>242.48150692351541</v>
      </c>
      <c r="BH80" s="62">
        <f t="shared" si="62"/>
        <v>507.27677411351522</v>
      </c>
      <c r="BI80" s="62">
        <f ca="1">AVERAGE(OFFSET($BH$3,0,0,'Données projet'!$E$11+1,1))-AVERAGE(OFFSET($H$3,0,0,'Données projet'!$E$11+1,1))</f>
        <v>299.54950406029354</v>
      </c>
      <c r="BJ80" s="62">
        <f t="shared" si="92"/>
        <v>208.26364698165739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62.216891051818124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3.3333333333333313</v>
      </c>
      <c r="BY80" s="13">
        <f>IF('Données projet'!$A$114&gt;35,BY79+BX80-CG79,IF(A80&lt;'Données projet'!$A$114,$BV$205^A80,IF(A80='Données projet'!$A$114,'Données projet'!$B$114,BY79+BX80-CG79)))</f>
        <v>199.61538461538447</v>
      </c>
      <c r="BZ80" s="14">
        <f>BY80*VLOOKUP('Données projet'!$B$12,Paramètres!$A$1:$I$89,3,0)*VLOOKUP('Données projet'!$B$12,Paramètres!$A$1:$I$89,5,0)</f>
        <v>214.86599999999981</v>
      </c>
      <c r="CA80" s="14">
        <f t="shared" si="93"/>
        <v>52.99750734018285</v>
      </c>
      <c r="CB80" s="22">
        <f t="shared" si="64"/>
        <v>466.52894195081808</v>
      </c>
      <c r="CC80" s="62">
        <f t="shared" si="65"/>
        <v>731.32420914081786</v>
      </c>
      <c r="CD80" s="62">
        <f ca="1">AVERAGE(OFFSET($CC$3,0,0,'Données projet'!$E$12+1,1))-AVERAGE(OFFSET($H$3,0,0,'Données projet'!$E$12+1,1))</f>
        <v>441.30518831297212</v>
      </c>
      <c r="CE80" s="62">
        <f t="shared" si="94"/>
        <v>270.42872405271851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62.216891051818124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2.4</v>
      </c>
      <c r="CT80" s="13">
        <f>IF('Données projet'!$A$140&gt;35,CT79+CS80-DB79,IF(A80&lt;'Données projet'!$A$140,$CQ$205^A80,IF(A80='Données projet'!$A$140,'Données projet'!$B$140,CT79+CS80-DB79)))</f>
        <v>226.79999999999987</v>
      </c>
      <c r="CU80" s="18">
        <f>CT80*VLOOKUP('Données projet'!$B$13,Paramètres!$A$1:$I$89,3,0)*VLOOKUP('Données projet'!$B$13,Paramètres!$A$1:$I$89,5,0)</f>
        <v>198.1324799999999</v>
      </c>
      <c r="CV80" s="14">
        <f t="shared" si="95"/>
        <v>49.333519530262052</v>
      </c>
      <c r="CW80" s="22">
        <f t="shared" si="67"/>
        <v>431.00328251520631</v>
      </c>
      <c r="CX80" s="62">
        <f t="shared" si="68"/>
        <v>695.79854970520614</v>
      </c>
      <c r="CY80" s="62">
        <f ca="1">AVERAGE(OFFSET($CX$3,0,0,'Données projet'!$E$13+1,1))-AVERAGE(OFFSET($H$3,0,0,'Données projet'!$E$13+1,1))</f>
        <v>310.81258463659196</v>
      </c>
      <c r="CZ80" s="62">
        <f t="shared" si="96"/>
        <v>287.31099756692083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62.216891051818124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3.3333333333333313</v>
      </c>
      <c r="DO80" s="13">
        <f>IF('Données projet'!$A$166&gt;35,DO79+DN80-DW79,IF(A80&lt;'Données projet'!$A$166,$DL$205^A80,IF(A80='Données projet'!$A$166,'Données projet'!$B$166,DO79+DN80-DW79)))</f>
        <v>199.61538461538447</v>
      </c>
      <c r="DP80" s="18">
        <f>DO80*VLOOKUP('Données projet'!$B$14,Paramètres!$A$1:$I$89,3,0)*VLOOKUP('Données projet'!$B$14,Paramètres!$A$1:$I$89,5,0)</f>
        <v>208.63799999999986</v>
      </c>
      <c r="DQ80" s="14">
        <f t="shared" si="97"/>
        <v>51.637841812342764</v>
      </c>
      <c r="DR80" s="22">
        <f t="shared" si="70"/>
        <v>453.31375782316337</v>
      </c>
      <c r="DS80" s="62">
        <f t="shared" si="71"/>
        <v>718.10902501316309</v>
      </c>
      <c r="DT80" s="62">
        <f ca="1">AVERAGE(OFFSET($DS$3,0,0,'Données projet'!$E$14+1,1))-AVERAGE(OFFSET($H$3,0,0,'Données projet'!$E$14+1,1))</f>
        <v>431.19274104373625</v>
      </c>
      <c r="DU80" s="62">
        <f t="shared" si="98"/>
        <v>264.67919175178133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62.216891051818124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8.9320512820512761</v>
      </c>
      <c r="EJ80" s="13">
        <f>IF('Données projet'!$A$192&gt;35,EJ79+EI80-ER79,IF(A80&lt;'Données projet'!$A$192,$EG$205^A80,IF(A80='Données projet'!$A$192,'Données projet'!$B$192,EJ79+EI80-ER79)))</f>
        <v>292.97948717948691</v>
      </c>
      <c r="EK80" s="18">
        <f>EJ80*VLOOKUP('Données projet'!$B$15,Paramètres!$A$1:$I$89,3,0)*VLOOKUP('Données projet'!$B$15,Paramètres!$A$1:$I$89,5,0)</f>
        <v>137.11439999999988</v>
      </c>
      <c r="EL80" s="14">
        <f t="shared" si="99"/>
        <v>35.635155920090774</v>
      </c>
      <c r="EM80" s="22">
        <f t="shared" si="73"/>
        <v>300.87214322749122</v>
      </c>
      <c r="EN80" s="62">
        <f t="shared" si="74"/>
        <v>565.66741041749106</v>
      </c>
      <c r="EO80" s="62">
        <f ca="1">AVERAGE(OFFSET($EN$3,0,0,'Données projet'!$E$15+1,1))-AVERAGE(OFFSET($H$3,0,0,'Données projet'!$E$15+1,1))</f>
        <v>291.68530745507815</v>
      </c>
      <c r="EP80" s="62">
        <f t="shared" si="100"/>
        <v>175.95121106728979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0</v>
      </c>
      <c r="EZ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62.216891051818124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3.4</v>
      </c>
      <c r="FE80" s="13">
        <f>IF('Données projet'!$A$218&gt;35,FE79+FD80-FM79,IF(A80&lt;'Données projet'!$A$218,$FB$205^A80,IF(A80='Données projet'!$A$218,'Données projet'!$B$218,FE79+FD80-FM79)))</f>
        <v>167.79999999999981</v>
      </c>
      <c r="FF80" s="18">
        <f>FE80*VLOOKUP('Données projet'!$B$16,Paramètres!$A$1:$I$89,3,0)*VLOOKUP('Données projet'!$B$16,Paramètres!$A$1:$I$89,5,0)</f>
        <v>109.94255999999987</v>
      </c>
      <c r="FG80" s="14">
        <f t="shared" si="101"/>
        <v>29.31745084917295</v>
      </c>
      <c r="FH80" s="22">
        <f t="shared" si="76"/>
        <v>242.54451889564268</v>
      </c>
      <c r="FI80" s="62">
        <f t="shared" si="77"/>
        <v>507.33978608564246</v>
      </c>
      <c r="FJ80" s="62">
        <f ca="1">AVERAGE(OFFSET($FI$3,0,0,'Données projet'!$E$16+1,1))-AVERAGE(OFFSET($H$3,0,0,'Données projet'!$E$16+1,1))</f>
        <v>248.75689726928428</v>
      </c>
      <c r="FK80" s="62">
        <f t="shared" si="102"/>
        <v>232.02291680388336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projet'!$B$16,Paramètres!$A$1:$I$89,3,0)*0.475*44/12</f>
        <v>0</v>
      </c>
      <c r="FR80" s="23">
        <f>EXP(-LN(2)/25)*FR79+(1-EXP(-LN(2)/25))/(LN(2)/25)*Calculateur!FM80*Calculateur!FO80*VLOOKUP('Données projet'!$B$16,Paramètres!$A$1:$I$89,3,0)*0.475*44/12</f>
        <v>0</v>
      </c>
      <c r="FS80" s="23">
        <f>EXP(-LN(2)/2)*FS79+(1-EXP(-LN(2)/2))/(LN(2)/2)*FM80*FP80*VLOOKUP('Données projet'!$B$16,Paramètres!$A$1:$I$89,3,0)*0.475*44/12</f>
        <v>0</v>
      </c>
      <c r="FT80" s="24">
        <f t="shared" si="78"/>
        <v>0</v>
      </c>
      <c r="FU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62.216891051818124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11.727272727272727</v>
      </c>
      <c r="FZ80" s="13">
        <f>IF('Données projet'!$A$244&gt;35,FZ79+FY80-GH79,IF(A80&lt;'Données projet'!$A$244,$FW$205^A80,IF(A80='Données projet'!$A$244,'Données projet'!$B$244,FZ79+FY80-GH79)))</f>
        <v>354.27272727272748</v>
      </c>
      <c r="GA80" s="18">
        <f>FZ80*VLOOKUP('Données projet'!$B$17,Paramètres!$A$1:$I$89,3,0)*VLOOKUP('Données projet'!$B$17,Paramètres!$A$1:$I$89,5,0)</f>
        <v>211.85509090909102</v>
      </c>
      <c r="GB80" s="14">
        <f t="shared" si="103"/>
        <v>52.34076199915382</v>
      </c>
      <c r="GC80" s="22">
        <f t="shared" si="79"/>
        <v>460.1411104818597</v>
      </c>
      <c r="GD80" s="62">
        <f t="shared" si="80"/>
        <v>724.93637767185942</v>
      </c>
      <c r="GE80" s="62">
        <f ca="1">AVERAGE(OFFSET($GD$3,0,0,'Données projet'!$E$17+1,1))-AVERAGE(OFFSET($H$3,0,0,'Données projet'!$E$17+1,1))</f>
        <v>315.909549580511</v>
      </c>
      <c r="GF80" s="62">
        <f t="shared" si="104"/>
        <v>208.56856525402051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projet'!$B$17,Paramètres!$A$1:$I$89,3,0)*0.475*44/12</f>
        <v>0</v>
      </c>
      <c r="GM80" s="23">
        <f>EXP(-LN(2)/25)*GM79+(1-EXP(-LN(2)/25))/(LN(2)/25)*Calculateur!GH80*Calculateur!GJ80*VLOOKUP('Données projet'!$B$17,Paramètres!$A$1:$I$89,3,0)*0.475*44/12</f>
        <v>0</v>
      </c>
      <c r="GN80" s="23">
        <f>EXP(-LN(2)/2)*GN79+(1-EXP(-LN(2)/2))/(LN(2)/2)*GH80*GK80*VLOOKUP('Données projet'!$B$17,Paramètres!$A$1:$I$89,3,0)*0.475*44/12</f>
        <v>0</v>
      </c>
      <c r="GO80" s="23">
        <f t="shared" si="81"/>
        <v>0</v>
      </c>
      <c r="GP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62.216891051818124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3.2051282051282044</v>
      </c>
      <c r="GU80" s="13">
        <f>IF('Données projet'!$A$270&gt;35,GU79+GT80-HC79,IF(A80&lt;'Données projet'!$A$270,$GR$205^A80,IF(A80='Données projet'!$A$270,'Données projet'!$B$270,GU79+GT80-HC79)))</f>
        <v>164.74358974358984</v>
      </c>
      <c r="GV80" s="18">
        <f>GU80*VLOOKUP('Données projet'!$B$18,Paramètres!$A$1:$I$89,3,0)*VLOOKUP('Données projet'!$B$18,Paramètres!$A$1:$I$89,5,0)</f>
        <v>110.51000000000008</v>
      </c>
      <c r="GW80" s="14">
        <f t="shared" si="105"/>
        <v>29.45111218268562</v>
      </c>
      <c r="GX80" s="22">
        <f t="shared" si="82"/>
        <v>243.76560371817754</v>
      </c>
      <c r="GY80" s="62">
        <f t="shared" si="83"/>
        <v>508.56087090817732</v>
      </c>
      <c r="GZ80" s="62">
        <f ca="1">AVERAGE(OFFSET($GY$3,0,0,'Données projet'!$E$18+1,1))-AVERAGE(OFFSET($H$3,0,0,'Données projet'!$E$18+1,1))</f>
        <v>254.35742752782755</v>
      </c>
      <c r="HA80" s="62">
        <f t="shared" si="106"/>
        <v>171.79611712137395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>
        <f>EXP(-LN(2)/35)*HG79+(1-EXP(-LN(2)/35))/(LN(2)/35)*HC80*HD80*VLOOKUP('Données projet'!$B$18,Paramètres!$A$1:$I$89,3,0)*0.475*44/12</f>
        <v>0</v>
      </c>
      <c r="HH80" s="23">
        <f>EXP(-LN(2)/25)*HH79+(1-EXP(-LN(2)/25))/(LN(2)/25)*Calculateur!HC80*Calculateur!HE80*VLOOKUP('Données projet'!$B$18,Paramètres!$A$1:$I$89,3,0)*0.475*44/12</f>
        <v>0</v>
      </c>
      <c r="HI80" s="23">
        <f>EXP(-LN(2)/2)*HI79+(1-EXP(-LN(2)/2))/(LN(2)/2)*HC80*HF80*VLOOKUP('Données projet'!$B$18,Paramètres!$A$1:$I$89,3,0)*0.475*44/12</f>
        <v>0</v>
      </c>
      <c r="HJ80" s="24">
        <f t="shared" si="84"/>
        <v>0</v>
      </c>
    </row>
    <row r="81" spans="1:218" s="5" customFormat="1" x14ac:dyDescent="0.3">
      <c r="A81" s="11">
        <f t="shared" si="85"/>
        <v>78</v>
      </c>
      <c r="B81" s="76">
        <f>'Scénario référence'!$B$16*5+'Scénario référence'!$B$17*0+'Scénario référence'!$B$18*5</f>
        <v>3.9405000000000001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14.448500000000001</v>
      </c>
      <c r="H81" s="69">
        <f t="shared" si="56"/>
        <v>161.30656666666667</v>
      </c>
      <c r="I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62.351910591644248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3.5471153846153847</v>
      </c>
      <c r="N81" s="14">
        <f>IF('Données projet'!$A$36&gt;35,N80+M81-V80,IF(A81&lt;'Données projet'!$A$36,$K$205^A81,IF(A81='Données projet'!$A$36,'Données projet'!$B$36,N80+M81-V80)))</f>
        <v>126.69615384615383</v>
      </c>
      <c r="O81" s="14">
        <f>N81*VLOOKUP('Données projet'!$B$9,Paramètres!$A$1:$I$89,3,0)*VLOOKUP('Données projet'!$B$9,Paramètres!$A$1:$I$89,5,0)</f>
        <v>74.117249999999999</v>
      </c>
      <c r="P81" s="14">
        <f t="shared" si="87"/>
        <v>20.692490087928007</v>
      </c>
      <c r="Q81" s="22">
        <f t="shared" si="54"/>
        <v>165.12696398647461</v>
      </c>
      <c r="R81" s="62">
        <f t="shared" si="55"/>
        <v>430.41730282250347</v>
      </c>
      <c r="S81" s="62">
        <f ca="1">AVERAGE(OFFSET($R$3,0,0,'Données projet'!$E$9+1,1))-AVERAGE(OFFSET($H$3,0,0,'Données projet'!$E$9+1,1))</f>
        <v>210.54472399593521</v>
      </c>
      <c r="T81" s="62">
        <f t="shared" si="88"/>
        <v>181.14158435194193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62.351910591644248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2.0200000000000045</v>
      </c>
      <c r="AI81" s="14">
        <f>IF('Données projet'!$A$62&gt;35,AI80+AH81-AQ80,IF(A81&lt;'Données projet'!$A$62,$AF$205^A81,IF(A81='Données projet'!$A$62,'Données projet'!$B$62,AI80+AH81-AQ80)))</f>
        <v>284.25999999999982</v>
      </c>
      <c r="AJ81" s="14">
        <f>AI81*VLOOKUP('Données projet'!$B$10,Paramètres!$A$1:$I$89,3,0)*VLOOKUP('Données projet'!$B$10,Paramètres!$A$1:$I$89,5,0)</f>
        <v>147.81519999999992</v>
      </c>
      <c r="AK81" s="14">
        <f t="shared" si="89"/>
        <v>38.081658794614022</v>
      </c>
      <c r="AL81" s="22">
        <f t="shared" si="58"/>
        <v>323.77036240061926</v>
      </c>
      <c r="AM81" s="62">
        <f t="shared" si="59"/>
        <v>589.06070123664813</v>
      </c>
      <c r="AN81" s="62">
        <f ca="1">AVERAGE(OFFSET($AM$3,0,0,'Données projet'!$E$10+1,1))-AVERAGE(OFFSET($H$3,0,0,'Données projet'!$E$10+1,1))</f>
        <v>289.05608923588198</v>
      </c>
      <c r="AO81" s="62">
        <f t="shared" si="90"/>
        <v>220.06639020312738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62.351910591644248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1.5783333333333318</v>
      </c>
      <c r="BD81" s="13">
        <f>IF('Données projet'!$A$88&gt;35,BD80+BC81-BL80,IF(A81&lt;'Données projet'!$A$88,$BA$205^A81,IF(A81='Données projet'!$A$88,'Données projet'!$B$88,BD80+BC81-BL80)))</f>
        <v>96.989166666666605</v>
      </c>
      <c r="BE81" s="14">
        <f>BD81*VLOOKUP('Données projet'!$B$11,Paramètres!$A$1:$I$89,3,0)*VLOOKUP('Données projet'!$B$11,Paramètres!$A$1:$I$89,5,0)</f>
        <v>111.73151999999993</v>
      </c>
      <c r="BF81" s="14">
        <f t="shared" si="91"/>
        <v>29.738572616522461</v>
      </c>
      <c r="BG81" s="22">
        <f t="shared" si="61"/>
        <v>246.39374464044309</v>
      </c>
      <c r="BH81" s="62">
        <f t="shared" si="62"/>
        <v>511.68408347647198</v>
      </c>
      <c r="BI81" s="62">
        <f ca="1">AVERAGE(OFFSET($BH$3,0,0,'Données projet'!$E$11+1,1))-AVERAGE(OFFSET($H$3,0,0,'Données projet'!$E$11+1,1))</f>
        <v>299.54950406029354</v>
      </c>
      <c r="BJ81" s="62">
        <f t="shared" si="92"/>
        <v>208.26364698165739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62.351910591644248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3.3333333333333313</v>
      </c>
      <c r="BY81" s="13">
        <f>IF('Données projet'!$A$114&gt;35,BY80+BX81-CG80,IF(A81&lt;'Données projet'!$A$114,$BV$205^A81,IF(A81='Données projet'!$A$114,'Données projet'!$B$114,BY80+BX81-CG80)))</f>
        <v>202.94871794871781</v>
      </c>
      <c r="BZ81" s="14">
        <f>BY81*VLOOKUP('Données projet'!$B$12,Paramètres!$A$1:$I$89,3,0)*VLOOKUP('Données projet'!$B$12,Paramètres!$A$1:$I$89,5,0)</f>
        <v>218.45399999999984</v>
      </c>
      <c r="CA81" s="14">
        <f t="shared" si="93"/>
        <v>53.778732472312015</v>
      </c>
      <c r="CB81" s="22">
        <f t="shared" si="64"/>
        <v>474.13867572260983</v>
      </c>
      <c r="CC81" s="62">
        <f t="shared" si="65"/>
        <v>739.42901455863876</v>
      </c>
      <c r="CD81" s="62">
        <f ca="1">AVERAGE(OFFSET($CC$3,0,0,'Données projet'!$E$12+1,1))-AVERAGE(OFFSET($H$3,0,0,'Données projet'!$E$12+1,1))</f>
        <v>441.30518831297212</v>
      </c>
      <c r="CE81" s="62">
        <f t="shared" si="94"/>
        <v>270.42872405271851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62.351910591644248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2.4</v>
      </c>
      <c r="CT81" s="13">
        <f>IF('Données projet'!$A$140&gt;35,CT80+CS81-DB80,IF(A81&lt;'Données projet'!$A$140,$CQ$205^A81,IF(A81='Données projet'!$A$140,'Données projet'!$B$140,CT80+CS81-DB80)))</f>
        <v>229.19999999999987</v>
      </c>
      <c r="CU81" s="18">
        <f>CT81*VLOOKUP('Données projet'!$B$13,Paramètres!$A$1:$I$89,3,0)*VLOOKUP('Données projet'!$B$13,Paramètres!$A$1:$I$89,5,0)</f>
        <v>200.22911999999994</v>
      </c>
      <c r="CV81" s="14">
        <f t="shared" si="95"/>
        <v>49.794518010766353</v>
      </c>
      <c r="CW81" s="22">
        <f t="shared" si="67"/>
        <v>435.45783620208459</v>
      </c>
      <c r="CX81" s="62">
        <f t="shared" si="68"/>
        <v>700.74817503811346</v>
      </c>
      <c r="CY81" s="62">
        <f ca="1">AVERAGE(OFFSET($CX$3,0,0,'Données projet'!$E$13+1,1))-AVERAGE(OFFSET($H$3,0,0,'Données projet'!$E$13+1,1))</f>
        <v>310.81258463659196</v>
      </c>
      <c r="CZ81" s="62">
        <f t="shared" si="96"/>
        <v>287.31099756692083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62.351910591644248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3.3333333333333313</v>
      </c>
      <c r="DO81" s="13">
        <f>IF('Données projet'!$A$166&gt;35,DO80+DN81-DW80,IF(A81&lt;'Données projet'!$A$166,$DL$205^A81,IF(A81='Données projet'!$A$166,'Données projet'!$B$166,DO80+DN81-DW80)))</f>
        <v>202.94871794871781</v>
      </c>
      <c r="DP81" s="18">
        <f>DO81*VLOOKUP('Données projet'!$B$14,Paramètres!$A$1:$I$89,3,0)*VLOOKUP('Données projet'!$B$14,Paramètres!$A$1:$I$89,5,0)</f>
        <v>212.1219999999999</v>
      </c>
      <c r="DQ81" s="14">
        <f t="shared" si="97"/>
        <v>52.399024400304327</v>
      </c>
      <c r="DR81" s="22">
        <f t="shared" si="70"/>
        <v>460.70745083052981</v>
      </c>
      <c r="DS81" s="62">
        <f t="shared" si="71"/>
        <v>725.99778966655867</v>
      </c>
      <c r="DT81" s="62">
        <f ca="1">AVERAGE(OFFSET($DS$3,0,0,'Données projet'!$E$14+1,1))-AVERAGE(OFFSET($H$3,0,0,'Données projet'!$E$14+1,1))</f>
        <v>431.19274104373625</v>
      </c>
      <c r="DU81" s="62">
        <f t="shared" si="98"/>
        <v>264.67919175178133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62.351910591644248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8.9320512820512761</v>
      </c>
      <c r="EJ81" s="13">
        <f>IF('Données projet'!$A$192&gt;35,EJ80+EI81-ER80,IF(A81&lt;'Données projet'!$A$192,$EG$205^A81,IF(A81='Données projet'!$A$192,'Données projet'!$B$192,EJ80+EI81-ER80)))</f>
        <v>301.91153846153816</v>
      </c>
      <c r="EK81" s="18">
        <f>EJ81*VLOOKUP('Données projet'!$B$15,Paramètres!$A$1:$I$89,3,0)*VLOOKUP('Données projet'!$B$15,Paramètres!$A$1:$I$89,5,0)</f>
        <v>141.29459999999986</v>
      </c>
      <c r="EL81" s="14">
        <f t="shared" si="99"/>
        <v>36.593421110553088</v>
      </c>
      <c r="EM81" s="22">
        <f t="shared" si="73"/>
        <v>309.82163676754641</v>
      </c>
      <c r="EN81" s="62">
        <f t="shared" si="74"/>
        <v>575.11197560357527</v>
      </c>
      <c r="EO81" s="62">
        <f ca="1">AVERAGE(OFFSET($EN$3,0,0,'Données projet'!$E$15+1,1))-AVERAGE(OFFSET($H$3,0,0,'Données projet'!$E$15+1,1))</f>
        <v>291.68530745507815</v>
      </c>
      <c r="EP81" s="62">
        <f t="shared" si="100"/>
        <v>175.95121106728979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0</v>
      </c>
      <c r="EZ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62.351910591644248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3.4</v>
      </c>
      <c r="FE81" s="13">
        <f>IF('Données projet'!$A$218&gt;35,FE80+FD81-FM80,IF(A81&lt;'Données projet'!$A$218,$FB$205^A81,IF(A81='Données projet'!$A$218,'Données projet'!$B$218,FE80+FD81-FM80)))</f>
        <v>171.19999999999982</v>
      </c>
      <c r="FF81" s="18">
        <f>FE81*VLOOKUP('Données projet'!$B$16,Paramètres!$A$1:$I$89,3,0)*VLOOKUP('Données projet'!$B$16,Paramètres!$A$1:$I$89,5,0)</f>
        <v>112.17023999999989</v>
      </c>
      <c r="FG81" s="14">
        <f t="shared" si="101"/>
        <v>29.841727178418427</v>
      </c>
      <c r="FH81" s="22">
        <f t="shared" si="76"/>
        <v>247.33750950241188</v>
      </c>
      <c r="FI81" s="62">
        <f t="shared" si="77"/>
        <v>512.6278483384408</v>
      </c>
      <c r="FJ81" s="62">
        <f ca="1">AVERAGE(OFFSET($FI$3,0,0,'Données projet'!$E$16+1,1))-AVERAGE(OFFSET($H$3,0,0,'Données projet'!$E$16+1,1))</f>
        <v>248.75689726928428</v>
      </c>
      <c r="FK81" s="62">
        <f t="shared" si="102"/>
        <v>232.02291680388336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projet'!$B$16,Paramètres!$A$1:$I$89,3,0)*0.475*44/12</f>
        <v>0</v>
      </c>
      <c r="FR81" s="23">
        <f>EXP(-LN(2)/25)*FR80+(1-EXP(-LN(2)/25))/(LN(2)/25)*Calculateur!FM81*Calculateur!FO81*VLOOKUP('Données projet'!$B$16,Paramètres!$A$1:$I$89,3,0)*0.475*44/12</f>
        <v>0</v>
      </c>
      <c r="FS81" s="23">
        <f>EXP(-LN(2)/2)*FS80+(1-EXP(-LN(2)/2))/(LN(2)/2)*FM81*FP81*VLOOKUP('Données projet'!$B$16,Paramètres!$A$1:$I$89,3,0)*0.475*44/12</f>
        <v>0</v>
      </c>
      <c r="FT81" s="24">
        <f t="shared" si="78"/>
        <v>0</v>
      </c>
      <c r="FU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62.351910591644248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>
        <f>VLOOKUP(A81,'Données projet'!$A$243:$I$263,2,0)</f>
        <v>366</v>
      </c>
      <c r="FX81" s="13">
        <f>VLOOKUP(A81,'Données projet'!$A$243:$I$263,9,0)</f>
        <v>11.727272727272727</v>
      </c>
      <c r="FY81" s="13">
        <f t="array" ref="FY81">INDEX(FX:FX,MIN(IF(ISNUMBER(FX81:FX277),ROW(FX81:FX277),"")))</f>
        <v>11.727272727272727</v>
      </c>
      <c r="FZ81" s="13">
        <f>IF('Données projet'!$A$244&gt;35,FZ80+FY81-GH80,IF(A81&lt;'Données projet'!$A$244,$FW$205^A81,IF(A81='Données projet'!$A$244,'Données projet'!$B$244,FZ80+FY81-GH80)))</f>
        <v>366.00000000000023</v>
      </c>
      <c r="GA81" s="18">
        <f>FZ81*VLOOKUP('Données projet'!$B$17,Paramètres!$A$1:$I$89,3,0)*VLOOKUP('Données projet'!$B$17,Paramètres!$A$1:$I$89,5,0)</f>
        <v>218.86800000000014</v>
      </c>
      <c r="GB81" s="14">
        <f t="shared" si="103"/>
        <v>53.868777293257544</v>
      </c>
      <c r="GC81" s="22">
        <f t="shared" si="79"/>
        <v>475.01655378575714</v>
      </c>
      <c r="GD81" s="62">
        <f t="shared" si="80"/>
        <v>740.30689262178601</v>
      </c>
      <c r="GE81" s="62">
        <f ca="1">AVERAGE(OFFSET($GD$3,0,0,'Données projet'!$E$17+1,1))-AVERAGE(OFFSET($H$3,0,0,'Données projet'!$E$17+1,1))</f>
        <v>315.909549580511</v>
      </c>
      <c r="GF81" s="62">
        <f t="shared" si="104"/>
        <v>208.56856525402051</v>
      </c>
      <c r="GG81" s="16">
        <f>IF(ISNA(VLOOKUP(A81,'Données projet'!$A$243:$I$263,3,0)),0,VLOOKUP(A81,'Données projet'!$A$243:$I$263,3,0))</f>
        <v>6</v>
      </c>
      <c r="GH81" s="16">
        <f>IF(ISNA(VLOOKUP(A81,'Données projet'!$A$243:$I$263,4,0)),0,VLOOKUP(A81,'Données projet'!$A$243:$I$263,4,0))</f>
        <v>100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projet'!$B$17,Paramètres!$A$1:$I$89,3,0)*0.475*44/12</f>
        <v>0</v>
      </c>
      <c r="GM81" s="23">
        <f>EXP(-LN(2)/25)*GM80+(1-EXP(-LN(2)/25))/(LN(2)/25)*Calculateur!GH81*Calculateur!GJ81*VLOOKUP('Données projet'!$B$17,Paramètres!$A$1:$I$89,3,0)*0.475*44/12</f>
        <v>0</v>
      </c>
      <c r="GN81" s="23">
        <f>EXP(-LN(2)/2)*GN80+(1-EXP(-LN(2)/2))/(LN(2)/2)*GH81*GK81*VLOOKUP('Données projet'!$B$17,Paramètres!$A$1:$I$89,3,0)*0.475*44/12</f>
        <v>0</v>
      </c>
      <c r="GO81" s="23">
        <f t="shared" si="81"/>
        <v>0</v>
      </c>
      <c r="GP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62.351910591644248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3.2051282051282044</v>
      </c>
      <c r="GU81" s="13">
        <f>IF('Données projet'!$A$270&gt;35,GU80+GT81-HC80,IF(A81&lt;'Données projet'!$A$270,$GR$205^A81,IF(A81='Données projet'!$A$270,'Données projet'!$B$270,GU80+GT81-HC80)))</f>
        <v>167.94871794871804</v>
      </c>
      <c r="GV81" s="18">
        <f>GU81*VLOOKUP('Données projet'!$B$18,Paramètres!$A$1:$I$89,3,0)*VLOOKUP('Données projet'!$B$18,Paramètres!$A$1:$I$89,5,0)</f>
        <v>112.66000000000007</v>
      </c>
      <c r="GW81" s="14">
        <f t="shared" si="105"/>
        <v>29.956827127251987</v>
      </c>
      <c r="GX81" s="22">
        <f t="shared" si="82"/>
        <v>248.39097391329733</v>
      </c>
      <c r="GY81" s="62">
        <f t="shared" si="83"/>
        <v>513.68131274932625</v>
      </c>
      <c r="GZ81" s="62">
        <f ca="1">AVERAGE(OFFSET($GY$3,0,0,'Données projet'!$E$18+1,1))-AVERAGE(OFFSET($H$3,0,0,'Données projet'!$E$18+1,1))</f>
        <v>254.35742752782755</v>
      </c>
      <c r="HA81" s="62">
        <f t="shared" si="106"/>
        <v>171.79611712137395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>
        <f>EXP(-LN(2)/35)*HG80+(1-EXP(-LN(2)/35))/(LN(2)/35)*HC81*HD81*VLOOKUP('Données projet'!$B$18,Paramètres!$A$1:$I$89,3,0)*0.475*44/12</f>
        <v>0</v>
      </c>
      <c r="HH81" s="23">
        <f>EXP(-LN(2)/25)*HH80+(1-EXP(-LN(2)/25))/(LN(2)/25)*Calculateur!HC81*Calculateur!HE81*VLOOKUP('Données projet'!$B$18,Paramètres!$A$1:$I$89,3,0)*0.475*44/12</f>
        <v>0</v>
      </c>
      <c r="HI81" s="23">
        <f>EXP(-LN(2)/2)*HI80+(1-EXP(-LN(2)/2))/(LN(2)/2)*HC81*HF81*VLOOKUP('Données projet'!$B$18,Paramètres!$A$1:$I$89,3,0)*0.475*44/12</f>
        <v>0</v>
      </c>
      <c r="HJ81" s="24">
        <f t="shared" si="84"/>
        <v>0</v>
      </c>
    </row>
    <row r="82" spans="1:218" s="5" customFormat="1" x14ac:dyDescent="0.3">
      <c r="A82" s="11">
        <f t="shared" si="85"/>
        <v>79</v>
      </c>
      <c r="B82" s="76">
        <f>'Scénario référence'!$B$16*5+'Scénario référence'!$B$17*0+'Scénario référence'!$B$18*5</f>
        <v>3.9405000000000001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14.448500000000001</v>
      </c>
      <c r="H82" s="69">
        <f t="shared" si="56"/>
        <v>161.30656666666667</v>
      </c>
      <c r="I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62.484587844312856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3.5471153846153847</v>
      </c>
      <c r="N82" s="14">
        <f>IF('Données projet'!$A$36&gt;35,N81+M82-V81,IF(A82&lt;'Données projet'!$A$36,$K$205^A82,IF(A82='Données projet'!$A$36,'Données projet'!$B$36,N81+M82-V81)))</f>
        <v>130.24326923076922</v>
      </c>
      <c r="O82" s="14">
        <f>N82*VLOOKUP('Données projet'!$B$9,Paramètres!$A$1:$I$89,3,0)*VLOOKUP('Données projet'!$B$9,Paramètres!$A$1:$I$89,5,0)</f>
        <v>76.1923125</v>
      </c>
      <c r="P82" s="14">
        <f t="shared" si="87"/>
        <v>21.203558921018757</v>
      </c>
      <c r="Q82" s="22">
        <f t="shared" si="54"/>
        <v>169.63114272494099</v>
      </c>
      <c r="R82" s="62">
        <f t="shared" si="55"/>
        <v>435.40796482075473</v>
      </c>
      <c r="S82" s="62">
        <f ca="1">AVERAGE(OFFSET($R$3,0,0,'Données projet'!$E$9+1,1))-AVERAGE(OFFSET($H$3,0,0,'Données projet'!$E$9+1,1))</f>
        <v>210.54472399593521</v>
      </c>
      <c r="T82" s="62">
        <f t="shared" si="88"/>
        <v>181.14158435194193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62.484587844312856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2.0200000000000045</v>
      </c>
      <c r="AI82" s="14">
        <f>IF('Données projet'!$A$62&gt;35,AI81+AH82-AQ81,IF(A82&lt;'Données projet'!$A$62,$AF$205^A82,IF(A82='Données projet'!$A$62,'Données projet'!$B$62,AI81+AH82-AQ81)))</f>
        <v>286.2799999999998</v>
      </c>
      <c r="AJ82" s="14">
        <f>AI82*VLOOKUP('Données projet'!$B$10,Paramètres!$A$1:$I$89,3,0)*VLOOKUP('Données projet'!$B$10,Paramètres!$A$1:$I$89,5,0)</f>
        <v>148.86559999999992</v>
      </c>
      <c r="AK82" s="14">
        <f t="shared" si="89"/>
        <v>38.320675361198681</v>
      </c>
      <c r="AL82" s="22">
        <f t="shared" si="58"/>
        <v>326.01609625408759</v>
      </c>
      <c r="AM82" s="62">
        <f t="shared" si="59"/>
        <v>591.79291834990136</v>
      </c>
      <c r="AN82" s="62">
        <f ca="1">AVERAGE(OFFSET($AM$3,0,0,'Données projet'!$E$10+1,1))-AVERAGE(OFFSET($H$3,0,0,'Données projet'!$E$10+1,1))</f>
        <v>289.05608923588198</v>
      </c>
      <c r="AO82" s="62">
        <f t="shared" si="90"/>
        <v>220.06639020312738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62.484587844312856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1.5783333333333318</v>
      </c>
      <c r="BD82" s="13">
        <f>IF('Données projet'!$A$88&gt;35,BD81+BC82-BL81,IF(A82&lt;'Données projet'!$A$88,$BA$205^A82,IF(A82='Données projet'!$A$88,'Données projet'!$B$88,BD81+BC82-BL81)))</f>
        <v>98.567499999999939</v>
      </c>
      <c r="BE82" s="14">
        <f>BD82*VLOOKUP('Données projet'!$B$11,Paramètres!$A$1:$I$89,3,0)*VLOOKUP('Données projet'!$B$11,Paramètres!$A$1:$I$89,5,0)</f>
        <v>113.54975999999992</v>
      </c>
      <c r="BF82" s="14">
        <f t="shared" si="91"/>
        <v>30.165783474102916</v>
      </c>
      <c r="BG82" s="22">
        <f t="shared" si="61"/>
        <v>250.30457155072909</v>
      </c>
      <c r="BH82" s="62">
        <f t="shared" si="62"/>
        <v>516.08139364654289</v>
      </c>
      <c r="BI82" s="62">
        <f ca="1">AVERAGE(OFFSET($BH$3,0,0,'Données projet'!$E$11+1,1))-AVERAGE(OFFSET($H$3,0,0,'Données projet'!$E$11+1,1))</f>
        <v>299.54950406029354</v>
      </c>
      <c r="BJ82" s="62">
        <f t="shared" si="92"/>
        <v>208.26364698165739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62.484587844312856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3.3333333333333313</v>
      </c>
      <c r="BY82" s="13">
        <f>IF('Données projet'!$A$114&gt;35,BY81+BX82-CG81,IF(A82&lt;'Données projet'!$A$114,$BV$205^A82,IF(A82='Données projet'!$A$114,'Données projet'!$B$114,BY81+BX82-CG81)))</f>
        <v>206.28205128205116</v>
      </c>
      <c r="BZ82" s="14">
        <f>BY82*VLOOKUP('Données projet'!$B$12,Paramètres!$A$1:$I$89,3,0)*VLOOKUP('Données projet'!$B$12,Paramètres!$A$1:$I$89,5,0)</f>
        <v>222.04199999999986</v>
      </c>
      <c r="CA82" s="14">
        <f t="shared" si="93"/>
        <v>54.558465403926242</v>
      </c>
      <c r="CB82" s="22">
        <f t="shared" si="64"/>
        <v>481.74581057850463</v>
      </c>
      <c r="CC82" s="62">
        <f t="shared" si="65"/>
        <v>747.5226326743184</v>
      </c>
      <c r="CD82" s="62">
        <f ca="1">AVERAGE(OFFSET($CC$3,0,0,'Données projet'!$E$12+1,1))-AVERAGE(OFFSET($H$3,0,0,'Données projet'!$E$12+1,1))</f>
        <v>441.30518831297212</v>
      </c>
      <c r="CE82" s="62">
        <f t="shared" si="94"/>
        <v>270.42872405271851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62.484587844312856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2.4</v>
      </c>
      <c r="CT82" s="13">
        <f>IF('Données projet'!$A$140&gt;35,CT81+CS82-DB81,IF(A82&lt;'Données projet'!$A$140,$CQ$205^A82,IF(A82='Données projet'!$A$140,'Données projet'!$B$140,CT81+CS82-DB81)))</f>
        <v>231.59999999999988</v>
      </c>
      <c r="CU82" s="18">
        <f>CT82*VLOOKUP('Données projet'!$B$13,Paramètres!$A$1:$I$89,3,0)*VLOOKUP('Données projet'!$B$13,Paramètres!$A$1:$I$89,5,0)</f>
        <v>202.32575999999992</v>
      </c>
      <c r="CV82" s="14">
        <f t="shared" si="95"/>
        <v>50.254954935552895</v>
      </c>
      <c r="CW82" s="22">
        <f t="shared" si="67"/>
        <v>439.91141184608779</v>
      </c>
      <c r="CX82" s="62">
        <f t="shared" si="68"/>
        <v>705.68823394190156</v>
      </c>
      <c r="CY82" s="62">
        <f ca="1">AVERAGE(OFFSET($CX$3,0,0,'Données projet'!$E$13+1,1))-AVERAGE(OFFSET($H$3,0,0,'Données projet'!$E$13+1,1))</f>
        <v>310.81258463659196</v>
      </c>
      <c r="CZ82" s="62">
        <f t="shared" si="96"/>
        <v>287.31099756692083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62.484587844312856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3.3333333333333313</v>
      </c>
      <c r="DO82" s="13">
        <f>IF('Données projet'!$A$166&gt;35,DO81+DN82-DW81,IF(A82&lt;'Données projet'!$A$166,$DL$205^A82,IF(A82='Données projet'!$A$166,'Données projet'!$B$166,DO81+DN82-DW81)))</f>
        <v>206.28205128205116</v>
      </c>
      <c r="DP82" s="18">
        <f>DO82*VLOOKUP('Données projet'!$B$14,Paramètres!$A$1:$I$89,3,0)*VLOOKUP('Données projet'!$B$14,Paramètres!$A$1:$I$89,5,0)</f>
        <v>215.60599999999988</v>
      </c>
      <c r="DQ82" s="14">
        <f t="shared" si="97"/>
        <v>53.158753070562781</v>
      </c>
      <c r="DR82" s="22">
        <f t="shared" si="70"/>
        <v>468.09861159789665</v>
      </c>
      <c r="DS82" s="62">
        <f t="shared" si="71"/>
        <v>733.87543369371042</v>
      </c>
      <c r="DT82" s="62">
        <f ca="1">AVERAGE(OFFSET($DS$3,0,0,'Données projet'!$E$14+1,1))-AVERAGE(OFFSET($H$3,0,0,'Données projet'!$E$14+1,1))</f>
        <v>431.19274104373625</v>
      </c>
      <c r="DU82" s="62">
        <f t="shared" si="98"/>
        <v>264.67919175178133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62.484587844312856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8.9320512820512761</v>
      </c>
      <c r="EJ82" s="13">
        <f>IF('Données projet'!$A$192&gt;35,EJ81+EI82-ER81,IF(A82&lt;'Données projet'!$A$192,$EG$205^A82,IF(A82='Données projet'!$A$192,'Données projet'!$B$192,EJ81+EI82-ER81)))</f>
        <v>310.8435897435894</v>
      </c>
      <c r="EK82" s="18">
        <f>EJ82*VLOOKUP('Données projet'!$B$15,Paramètres!$A$1:$I$89,3,0)*VLOOKUP('Données projet'!$B$15,Paramètres!$A$1:$I$89,5,0)</f>
        <v>145.47479999999985</v>
      </c>
      <c r="EL82" s="14">
        <f t="shared" si="99"/>
        <v>37.548391497194409</v>
      </c>
      <c r="EM82" s="22">
        <f t="shared" si="73"/>
        <v>318.76539185761334</v>
      </c>
      <c r="EN82" s="62">
        <f t="shared" si="74"/>
        <v>584.54221395342711</v>
      </c>
      <c r="EO82" s="62">
        <f ca="1">AVERAGE(OFFSET($EN$3,0,0,'Données projet'!$E$15+1,1))-AVERAGE(OFFSET($H$3,0,0,'Données projet'!$E$15+1,1))</f>
        <v>291.68530745507815</v>
      </c>
      <c r="EP82" s="62">
        <f t="shared" si="100"/>
        <v>175.95121106728979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0</v>
      </c>
      <c r="EZ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62.484587844312856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3.4</v>
      </c>
      <c r="FE82" s="13">
        <f>IF('Données projet'!$A$218&gt;35,FE81+FD82-FM81,IF(A82&lt;'Données projet'!$A$218,$FB$205^A82,IF(A82='Données projet'!$A$218,'Données projet'!$B$218,FE81+FD82-FM81)))</f>
        <v>174.59999999999982</v>
      </c>
      <c r="FF82" s="18">
        <f>FE82*VLOOKUP('Données projet'!$B$16,Paramètres!$A$1:$I$89,3,0)*VLOOKUP('Données projet'!$B$16,Paramètres!$A$1:$I$89,5,0)</f>
        <v>114.39791999999989</v>
      </c>
      <c r="FG82" s="14">
        <f t="shared" si="101"/>
        <v>30.364792863013271</v>
      </c>
      <c r="FH82" s="22">
        <f t="shared" si="76"/>
        <v>252.12839156974792</v>
      </c>
      <c r="FI82" s="62">
        <f t="shared" si="77"/>
        <v>517.90521366556163</v>
      </c>
      <c r="FJ82" s="62">
        <f ca="1">AVERAGE(OFFSET($FI$3,0,0,'Données projet'!$E$16+1,1))-AVERAGE(OFFSET($H$3,0,0,'Données projet'!$E$16+1,1))</f>
        <v>248.75689726928428</v>
      </c>
      <c r="FK82" s="62">
        <f t="shared" si="102"/>
        <v>232.02291680388336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projet'!$B$16,Paramètres!$A$1:$I$89,3,0)*0.475*44/12</f>
        <v>0</v>
      </c>
      <c r="FR82" s="23">
        <f>EXP(-LN(2)/25)*FR81+(1-EXP(-LN(2)/25))/(LN(2)/25)*Calculateur!FM82*Calculateur!FO82*VLOOKUP('Données projet'!$B$16,Paramètres!$A$1:$I$89,3,0)*0.475*44/12</f>
        <v>0</v>
      </c>
      <c r="FS82" s="23">
        <f>EXP(-LN(2)/2)*FS81+(1-EXP(-LN(2)/2))/(LN(2)/2)*FM82*FP82*VLOOKUP('Données projet'!$B$16,Paramètres!$A$1:$I$89,3,0)*0.475*44/12</f>
        <v>0</v>
      </c>
      <c r="FT82" s="24">
        <f t="shared" si="78"/>
        <v>0</v>
      </c>
      <c r="FU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62.484587844312856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9.8461538461538467</v>
      </c>
      <c r="FZ82" s="13">
        <f>IF('Données projet'!$A$244&gt;35,FZ81+FY82-GH81,IF(A82&lt;'Données projet'!$A$244,$FW$205^A82,IF(A82='Données projet'!$A$244,'Données projet'!$B$244,FZ81+FY82-GH81)))</f>
        <v>275.8461538461541</v>
      </c>
      <c r="GA82" s="18">
        <f>FZ82*VLOOKUP('Données projet'!$B$17,Paramètres!$A$1:$I$89,3,0)*VLOOKUP('Données projet'!$B$17,Paramètres!$A$1:$I$89,5,0)</f>
        <v>164.95600000000016</v>
      </c>
      <c r="GB82" s="14">
        <f t="shared" si="103"/>
        <v>41.958362715874756</v>
      </c>
      <c r="GC82" s="22">
        <f t="shared" si="79"/>
        <v>360.37584839681546</v>
      </c>
      <c r="GD82" s="62">
        <f t="shared" si="80"/>
        <v>626.15267049262923</v>
      </c>
      <c r="GE82" s="62">
        <f ca="1">AVERAGE(OFFSET($GD$3,0,0,'Données projet'!$E$17+1,1))-AVERAGE(OFFSET($H$3,0,0,'Données projet'!$E$17+1,1))</f>
        <v>315.909549580511</v>
      </c>
      <c r="GF82" s="62">
        <f t="shared" si="104"/>
        <v>208.56856525402051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projet'!$B$17,Paramètres!$A$1:$I$89,3,0)*0.475*44/12</f>
        <v>0</v>
      </c>
      <c r="GM82" s="23">
        <f>EXP(-LN(2)/25)*GM81+(1-EXP(-LN(2)/25))/(LN(2)/25)*Calculateur!GH82*Calculateur!GJ82*VLOOKUP('Données projet'!$B$17,Paramètres!$A$1:$I$89,3,0)*0.475*44/12</f>
        <v>0</v>
      </c>
      <c r="GN82" s="23">
        <f>EXP(-LN(2)/2)*GN81+(1-EXP(-LN(2)/2))/(LN(2)/2)*GH82*GK82*VLOOKUP('Données projet'!$B$17,Paramètres!$A$1:$I$89,3,0)*0.475*44/12</f>
        <v>0</v>
      </c>
      <c r="GO82" s="23">
        <f t="shared" si="81"/>
        <v>0</v>
      </c>
      <c r="GP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62.484587844312856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3.2051282051282044</v>
      </c>
      <c r="GU82" s="13">
        <f>IF('Données projet'!$A$270&gt;35,GU81+GT82-HC81,IF(A82&lt;'Données projet'!$A$270,$GR$205^A82,IF(A82='Données projet'!$A$270,'Données projet'!$B$270,GU81+GT82-HC81)))</f>
        <v>171.15384615384625</v>
      </c>
      <c r="GV82" s="18">
        <f>GU82*VLOOKUP('Données projet'!$B$18,Paramètres!$A$1:$I$89,3,0)*VLOOKUP('Données projet'!$B$18,Paramètres!$A$1:$I$89,5,0)</f>
        <v>114.81000000000006</v>
      </c>
      <c r="GW82" s="14">
        <f t="shared" si="105"/>
        <v>30.46141986456006</v>
      </c>
      <c r="GX82" s="22">
        <f t="shared" si="82"/>
        <v>253.01438959744223</v>
      </c>
      <c r="GY82" s="62">
        <f t="shared" si="83"/>
        <v>518.79121169325595</v>
      </c>
      <c r="GZ82" s="62">
        <f ca="1">AVERAGE(OFFSET($GY$3,0,0,'Données projet'!$E$18+1,1))-AVERAGE(OFFSET($H$3,0,0,'Données projet'!$E$18+1,1))</f>
        <v>254.35742752782755</v>
      </c>
      <c r="HA82" s="62">
        <f t="shared" si="106"/>
        <v>171.79611712137395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>
        <f>EXP(-LN(2)/35)*HG81+(1-EXP(-LN(2)/35))/(LN(2)/35)*HC82*HD82*VLOOKUP('Données projet'!$B$18,Paramètres!$A$1:$I$89,3,0)*0.475*44/12</f>
        <v>0</v>
      </c>
      <c r="HH82" s="23">
        <f>EXP(-LN(2)/25)*HH81+(1-EXP(-LN(2)/25))/(LN(2)/25)*Calculateur!HC82*Calculateur!HE82*VLOOKUP('Données projet'!$B$18,Paramètres!$A$1:$I$89,3,0)*0.475*44/12</f>
        <v>0</v>
      </c>
      <c r="HI82" s="23">
        <f>EXP(-LN(2)/2)*HI81+(1-EXP(-LN(2)/2))/(LN(2)/2)*HC82*HF82*VLOOKUP('Données projet'!$B$18,Paramètres!$A$1:$I$89,3,0)*0.475*44/12</f>
        <v>0</v>
      </c>
      <c r="HJ82" s="24">
        <f t="shared" si="84"/>
        <v>0</v>
      </c>
    </row>
    <row r="83" spans="1:218" s="5" customFormat="1" x14ac:dyDescent="0.3">
      <c r="A83" s="11">
        <f t="shared" si="85"/>
        <v>80</v>
      </c>
      <c r="B83" s="76">
        <f>'Scénario référence'!$B$16*5+'Scénario référence'!$B$17*0+'Scénario référence'!$B$18*5</f>
        <v>3.9405000000000001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14.448500000000001</v>
      </c>
      <c r="H83" s="69">
        <f t="shared" si="56"/>
        <v>161.30656666666667</v>
      </c>
      <c r="I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62.614963443269559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3.5471153846153847</v>
      </c>
      <c r="N83" s="14">
        <f>IF('Données projet'!$A$36&gt;35,N82+M83-V82,IF(A83&lt;'Données projet'!$A$36,$K$205^A83,IF(A83='Données projet'!$A$36,'Données projet'!$B$36,N82+M83-V82)))</f>
        <v>133.7903846153846</v>
      </c>
      <c r="O83" s="14">
        <f>N83*VLOOKUP('Données projet'!$B$9,Paramètres!$A$1:$I$89,3,0)*VLOOKUP('Données projet'!$B$9,Paramètres!$A$1:$I$89,5,0)</f>
        <v>78.267374999999987</v>
      </c>
      <c r="P83" s="14">
        <f t="shared" si="87"/>
        <v>21.713009968591095</v>
      </c>
      <c r="Q83" s="22">
        <f t="shared" si="54"/>
        <v>174.13250382029614</v>
      </c>
      <c r="R83" s="62">
        <f t="shared" si="55"/>
        <v>440.38736977895121</v>
      </c>
      <c r="S83" s="62">
        <f ca="1">AVERAGE(OFFSET($R$3,0,0,'Données projet'!$E$9+1,1))-AVERAGE(OFFSET($H$3,0,0,'Données projet'!$E$9+1,1))</f>
        <v>210.54472399593521</v>
      </c>
      <c r="T83" s="62">
        <f t="shared" si="88"/>
        <v>181.14158435194193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62.614963443269559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288.3</v>
      </c>
      <c r="AG83" s="13">
        <f>VLOOKUP(A83,'Données projet'!$A$61:$I$81,9,0)</f>
        <v>2.0200000000000045</v>
      </c>
      <c r="AH83" s="13">
        <f t="array" ref="AH83">INDEX(AG:AG,MIN(IF(ISNUMBER(AG83:AG279),ROW(AG83:AG279),"")))</f>
        <v>2.0200000000000045</v>
      </c>
      <c r="AI83" s="14">
        <f>IF('Données projet'!$A$62&gt;35,AI82+AH83-AQ82,IF(A83&lt;'Données projet'!$A$62,$AF$205^A83,IF(A83='Données projet'!$A$62,'Données projet'!$B$62,AI82+AH83-AQ82)))</f>
        <v>288.29999999999978</v>
      </c>
      <c r="AJ83" s="14">
        <f>AI83*VLOOKUP('Données projet'!$B$10,Paramètres!$A$1:$I$89,3,0)*VLOOKUP('Données projet'!$B$10,Paramètres!$A$1:$I$89,5,0)</f>
        <v>149.91599999999991</v>
      </c>
      <c r="AK83" s="14">
        <f t="shared" si="89"/>
        <v>38.559495697142879</v>
      </c>
      <c r="AL83" s="22">
        <f t="shared" si="58"/>
        <v>328.26148833919029</v>
      </c>
      <c r="AM83" s="62">
        <f t="shared" si="59"/>
        <v>594.51635429784528</v>
      </c>
      <c r="AN83" s="62">
        <f ca="1">AVERAGE(OFFSET($AM$3,0,0,'Données projet'!$E$10+1,1))-AVERAGE(OFFSET($H$3,0,0,'Données projet'!$E$10+1,1))</f>
        <v>289.05608923588198</v>
      </c>
      <c r="AO83" s="62">
        <f t="shared" si="90"/>
        <v>220.06639020312738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62.614963443269559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100.14583333333333</v>
      </c>
      <c r="BB83" s="13">
        <f>VLOOKUP(A83,'Données projet'!$A$87:$I$107,9,0)</f>
        <v>1.5783333333333318</v>
      </c>
      <c r="BC83" s="13">
        <f t="array" ref="BC83">INDEX(BB:BB,MIN(IF(ISNUMBER(BB83:BB279),ROW(BB83:BB279),"")))</f>
        <v>1.5783333333333318</v>
      </c>
      <c r="BD83" s="13">
        <f>IF('Données projet'!$A$88&gt;35,BD82+BC83-BL82,IF(A83&lt;'Données projet'!$A$88,$BA$205^A83,IF(A83='Données projet'!$A$88,'Données projet'!$B$88,BD82+BC83-BL82)))</f>
        <v>100.14583333333327</v>
      </c>
      <c r="BE83" s="14">
        <f>BD83*VLOOKUP('Données projet'!$B$11,Paramètres!$A$1:$I$89,3,0)*VLOOKUP('Données projet'!$B$11,Paramètres!$A$1:$I$89,5,0)</f>
        <v>115.36799999999992</v>
      </c>
      <c r="BF83" s="14">
        <f t="shared" si="91"/>
        <v>30.592198767544506</v>
      </c>
      <c r="BG83" s="22">
        <f t="shared" si="61"/>
        <v>254.21401285347324</v>
      </c>
      <c r="BH83" s="62">
        <f t="shared" si="62"/>
        <v>520.46887881212831</v>
      </c>
      <c r="BI83" s="62">
        <f ca="1">AVERAGE(OFFSET($BH$3,0,0,'Données projet'!$E$11+1,1))-AVERAGE(OFFSET($H$3,0,0,'Données projet'!$E$11+1,1))</f>
        <v>299.54950406029354</v>
      </c>
      <c r="BJ83" s="62">
        <f t="shared" si="92"/>
        <v>208.26364698165739</v>
      </c>
      <c r="BK83" s="16">
        <f>IF(ISNA(VLOOKUP(A83,'Données projet'!$A$87:$I$107,3,0)),0,VLOOKUP(A83,'Données projet'!$A$87:$I$107,3,0))</f>
        <v>6</v>
      </c>
      <c r="BL83" s="23">
        <f>IF(ISNA(VLOOKUP(A83,'Données projet'!$A$87:$I$107,4,0)),0,VLOOKUP(A83,'Données projet'!$A$87:$I$107,4,0))</f>
        <v>9.1666666666666679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62.614963443269559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209.61538461538461</v>
      </c>
      <c r="BW83" s="13">
        <f>VLOOKUP(A83,'Données projet'!$A$113:$I$133,9,0)</f>
        <v>3.3333333333333313</v>
      </c>
      <c r="BX83" s="13">
        <f t="array" ref="BX83">INDEX(BW:BW,MIN(IF(ISNUMBER(BW83:BW279),ROW(BW83:BW279),"")))</f>
        <v>3.3333333333333313</v>
      </c>
      <c r="BY83" s="13">
        <f>IF('Données projet'!$A$114&gt;35,BY82+BX83-CG82,IF(A83&lt;'Données projet'!$A$114,$BV$205^A83,IF(A83='Données projet'!$A$114,'Données projet'!$B$114,BY82+BX83-CG82)))</f>
        <v>209.6153846153845</v>
      </c>
      <c r="BZ83" s="14">
        <f>BY83*VLOOKUP('Données projet'!$B$12,Paramètres!$A$1:$I$89,3,0)*VLOOKUP('Données projet'!$B$12,Paramètres!$A$1:$I$89,5,0)</f>
        <v>225.62999999999988</v>
      </c>
      <c r="CA83" s="14">
        <f t="shared" si="93"/>
        <v>55.336733031417353</v>
      </c>
      <c r="CB83" s="22">
        <f t="shared" si="64"/>
        <v>489.35039336305164</v>
      </c>
      <c r="CC83" s="62">
        <f t="shared" si="65"/>
        <v>755.60525932170663</v>
      </c>
      <c r="CD83" s="62">
        <f ca="1">AVERAGE(OFFSET($CC$3,0,0,'Données projet'!$E$12+1,1))-AVERAGE(OFFSET($H$3,0,0,'Données projet'!$E$12+1,1))</f>
        <v>441.30518831297212</v>
      </c>
      <c r="CE83" s="62">
        <f t="shared" si="94"/>
        <v>270.42872405271851</v>
      </c>
      <c r="CF83" s="16">
        <f>IF(ISNA(VLOOKUP(A83,'Données projet'!$A$113:$I$133,3,0)),0,VLOOKUP(A83,'Données projet'!$A$113:$I$133,3,0))</f>
        <v>6</v>
      </c>
      <c r="CG83" s="16">
        <f>IF(ISNA(VLOOKUP(A83,'Données projet'!$A$113:$I$133,4,0)),0,VLOOKUP(A83,'Données projet'!$A$113:$I$133,4,0))</f>
        <v>17.948717948717949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62.614963443269559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234</v>
      </c>
      <c r="CR83" s="13">
        <f>VLOOKUP(A83,'Données projet'!$A$139:$I$159,9,0)</f>
        <v>2.4</v>
      </c>
      <c r="CS83" s="13">
        <f t="array" ref="CS83">INDEX(CR:CR,MIN(IF(ISNUMBER(CR83:CR279),ROW(CR83:CR279),"")))</f>
        <v>2.4</v>
      </c>
      <c r="CT83" s="13">
        <f>IF('Données projet'!$A$140&gt;35,CT82+CS83-DB82,IF(A83&lt;'Données projet'!$A$140,$CQ$205^A83,IF(A83='Données projet'!$A$140,'Données projet'!$B$140,CT82+CS83-DB82)))</f>
        <v>233.99999999999989</v>
      </c>
      <c r="CU83" s="18">
        <f>CT83*VLOOKUP('Données projet'!$B$13,Paramètres!$A$1:$I$89,3,0)*VLOOKUP('Données projet'!$B$13,Paramètres!$A$1:$I$89,5,0)</f>
        <v>204.4223999999999</v>
      </c>
      <c r="CV83" s="14">
        <f t="shared" si="95"/>
        <v>50.714836797527262</v>
      </c>
      <c r="CW83" s="22">
        <f t="shared" si="67"/>
        <v>444.36402075569316</v>
      </c>
      <c r="CX83" s="62">
        <f t="shared" si="68"/>
        <v>710.61888671434826</v>
      </c>
      <c r="CY83" s="62">
        <f ca="1">AVERAGE(OFFSET($CX$3,0,0,'Données projet'!$E$13+1,1))-AVERAGE(OFFSET($H$3,0,0,'Données projet'!$E$13+1,1))</f>
        <v>310.81258463659196</v>
      </c>
      <c r="CZ83" s="62">
        <f t="shared" si="96"/>
        <v>287.31099756692083</v>
      </c>
      <c r="DA83" s="16">
        <f>IF(ISNA(VLOOKUP(A83,'Données projet'!$A$139:$I$159,3,0)),0,VLOOKUP(A83,'Données projet'!$A$139:$I$159,3,0))</f>
        <v>6</v>
      </c>
      <c r="DB83" s="16">
        <f>IF(ISNA(VLOOKUP(A83,'Données projet'!$A$139:$I$159,4,0)),0,VLOOKUP(A83,'Données projet'!$A$139:$I$159,4,0))</f>
        <v>234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62.614963443269559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209.61538461538461</v>
      </c>
      <c r="DM83" s="13">
        <f>VLOOKUP(A83,'Données projet'!$A$165:$I$185,9,0)</f>
        <v>3.3333333333333313</v>
      </c>
      <c r="DN83" s="13">
        <f t="array" ref="DN83">INDEX(DM:DM,MIN(IF(ISNUMBER(DM83:DM279),ROW(DM83:DM279),"")))</f>
        <v>3.3333333333333313</v>
      </c>
      <c r="DO83" s="13">
        <f>IF('Données projet'!$A$166&gt;35,DO82+DN83-DW82,IF(A83&lt;'Données projet'!$A$166,$DL$205^A83,IF(A83='Données projet'!$A$166,'Données projet'!$B$166,DO82+DN83-DW82)))</f>
        <v>209.6153846153845</v>
      </c>
      <c r="DP83" s="18">
        <f>DO83*VLOOKUP('Données projet'!$B$14,Paramètres!$A$1:$I$89,3,0)*VLOOKUP('Données projet'!$B$14,Paramètres!$A$1:$I$89,5,0)</f>
        <v>219.08999999999989</v>
      </c>
      <c r="DQ83" s="14">
        <f t="shared" si="97"/>
        <v>53.917054029475665</v>
      </c>
      <c r="DR83" s="22">
        <f t="shared" si="70"/>
        <v>475.48728576800335</v>
      </c>
      <c r="DS83" s="62">
        <f t="shared" si="71"/>
        <v>741.74215172665845</v>
      </c>
      <c r="DT83" s="62">
        <f ca="1">AVERAGE(OFFSET($DS$3,0,0,'Données projet'!$E$14+1,1))-AVERAGE(OFFSET($H$3,0,0,'Données projet'!$E$14+1,1))</f>
        <v>431.19274104373625</v>
      </c>
      <c r="DU83" s="62">
        <f t="shared" si="98"/>
        <v>264.67919175178133</v>
      </c>
      <c r="DV83" s="16">
        <f>IF(ISNA(VLOOKUP(A83,'Données projet'!$A$165:$I$185,3,0)),0,VLOOKUP(A83,'Données projet'!$A$165:$I$185,3,0))</f>
        <v>6</v>
      </c>
      <c r="DW83" s="16">
        <f>IF(ISNA(VLOOKUP(A83,'Données projet'!$A$165:$I$185,4,0)),0,VLOOKUP(A83,'Données projet'!$A$165:$I$185,4,0))</f>
        <v>17.948717948717949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62.614963443269559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8.9320512820512761</v>
      </c>
      <c r="EJ83" s="13">
        <f>IF('Données projet'!$A$192&gt;35,EJ82+EI83-ER82,IF(A83&lt;'Données projet'!$A$192,$EG$205^A83,IF(A83='Données projet'!$A$192,'Données projet'!$B$192,EJ82+EI83-ER82)))</f>
        <v>319.77564102564065</v>
      </c>
      <c r="EK83" s="18">
        <f>EJ83*VLOOKUP('Données projet'!$B$15,Paramètres!$A$1:$I$89,3,0)*VLOOKUP('Données projet'!$B$15,Paramètres!$A$1:$I$89,5,0)</f>
        <v>149.65499999999983</v>
      </c>
      <c r="EL83" s="14">
        <f t="shared" si="99"/>
        <v>38.500172628917376</v>
      </c>
      <c r="EM83" s="22">
        <f t="shared" si="73"/>
        <v>327.70359232869743</v>
      </c>
      <c r="EN83" s="62">
        <f t="shared" si="74"/>
        <v>593.95845828735241</v>
      </c>
      <c r="EO83" s="62">
        <f ca="1">AVERAGE(OFFSET($EN$3,0,0,'Données projet'!$E$15+1,1))-AVERAGE(OFFSET($H$3,0,0,'Données projet'!$E$15+1,1))</f>
        <v>291.68530745507815</v>
      </c>
      <c r="EP83" s="62">
        <f t="shared" si="100"/>
        <v>175.95121106728979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0</v>
      </c>
      <c r="EZ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62.614963443269559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>
        <f>VLOOKUP(A83,'Données projet'!$A$217:$I$237,2,0)</f>
        <v>178</v>
      </c>
      <c r="FC83" s="13">
        <f>VLOOKUP(A83,'Données projet'!$A$217:$I$237,9,0)</f>
        <v>3.4</v>
      </c>
      <c r="FD83" s="13">
        <f t="array" ref="FD83">INDEX(FC:FC,MIN(IF(ISNUMBER(FC83:FC279),ROW(FC83:FC279),"")))</f>
        <v>3.4</v>
      </c>
      <c r="FE83" s="13">
        <f>IF('Données projet'!$A$218&gt;35,FE82+FD83-FM82,IF(A83&lt;'Données projet'!$A$218,$FB$205^A83,IF(A83='Données projet'!$A$218,'Données projet'!$B$218,FE82+FD83-FM82)))</f>
        <v>177.99999999999983</v>
      </c>
      <c r="FF83" s="18">
        <f>FE83*VLOOKUP('Données projet'!$B$16,Paramètres!$A$1:$I$89,3,0)*VLOOKUP('Données projet'!$B$16,Paramètres!$A$1:$I$89,5,0)</f>
        <v>116.62559999999988</v>
      </c>
      <c r="FG83" s="14">
        <f t="shared" si="101"/>
        <v>30.886674195614191</v>
      </c>
      <c r="FH83" s="22">
        <f t="shared" si="76"/>
        <v>256.91721089069443</v>
      </c>
      <c r="FI83" s="62">
        <f t="shared" si="77"/>
        <v>523.17207684934942</v>
      </c>
      <c r="FJ83" s="62">
        <f ca="1">AVERAGE(OFFSET($FI$3,0,0,'Données projet'!$E$16+1,1))-AVERAGE(OFFSET($H$3,0,0,'Données projet'!$E$16+1,1))</f>
        <v>248.75689726928428</v>
      </c>
      <c r="FK83" s="62">
        <f t="shared" si="102"/>
        <v>232.02291680388336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projet'!$B$16,Paramètres!$A$1:$I$89,3,0)*0.475*44/12</f>
        <v>0</v>
      </c>
      <c r="FR83" s="23">
        <f>EXP(-LN(2)/25)*FR82+(1-EXP(-LN(2)/25))/(LN(2)/25)*Calculateur!FM83*Calculateur!FO83*VLOOKUP('Données projet'!$B$16,Paramètres!$A$1:$I$89,3,0)*0.475*44/12</f>
        <v>0</v>
      </c>
      <c r="FS83" s="23">
        <f>EXP(-LN(2)/2)*FS82+(1-EXP(-LN(2)/2))/(LN(2)/2)*FM83*FP83*VLOOKUP('Données projet'!$B$16,Paramètres!$A$1:$I$89,3,0)*0.475*44/12</f>
        <v>0</v>
      </c>
      <c r="FT83" s="24">
        <f t="shared" si="78"/>
        <v>0</v>
      </c>
      <c r="FU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62.614963443269559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9.8461538461538467</v>
      </c>
      <c r="FZ83" s="13">
        <f>IF('Données projet'!$A$244&gt;35,FZ82+FY83-GH82,IF(A83&lt;'Données projet'!$A$244,$FW$205^A83,IF(A83='Données projet'!$A$244,'Données projet'!$B$244,FZ82+FY83-GH82)))</f>
        <v>285.69230769230796</v>
      </c>
      <c r="GA83" s="18">
        <f>FZ83*VLOOKUP('Données projet'!$B$17,Paramètres!$A$1:$I$89,3,0)*VLOOKUP('Données projet'!$B$17,Paramètres!$A$1:$I$89,5,0)</f>
        <v>170.84400000000016</v>
      </c>
      <c r="GB83" s="14">
        <f t="shared" si="103"/>
        <v>43.278996990911551</v>
      </c>
      <c r="GC83" s="22">
        <f t="shared" si="79"/>
        <v>372.93088642583785</v>
      </c>
      <c r="GD83" s="62">
        <f t="shared" si="80"/>
        <v>639.18575238449284</v>
      </c>
      <c r="GE83" s="62">
        <f ca="1">AVERAGE(OFFSET($GD$3,0,0,'Données projet'!$E$17+1,1))-AVERAGE(OFFSET($H$3,0,0,'Données projet'!$E$17+1,1))</f>
        <v>315.909549580511</v>
      </c>
      <c r="GF83" s="62">
        <f t="shared" si="104"/>
        <v>208.56856525402051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projet'!$B$17,Paramètres!$A$1:$I$89,3,0)*0.475*44/12</f>
        <v>0</v>
      </c>
      <c r="GM83" s="23">
        <f>EXP(-LN(2)/25)*GM82+(1-EXP(-LN(2)/25))/(LN(2)/25)*Calculateur!GH83*Calculateur!GJ83*VLOOKUP('Données projet'!$B$17,Paramètres!$A$1:$I$89,3,0)*0.475*44/12</f>
        <v>0</v>
      </c>
      <c r="GN83" s="23">
        <f>EXP(-LN(2)/2)*GN82+(1-EXP(-LN(2)/2))/(LN(2)/2)*GH83*GK83*VLOOKUP('Données projet'!$B$17,Paramètres!$A$1:$I$89,3,0)*0.475*44/12</f>
        <v>0</v>
      </c>
      <c r="GO83" s="23">
        <f t="shared" si="81"/>
        <v>0</v>
      </c>
      <c r="GP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62.614963443269559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>
        <f>VLOOKUP(A83,'Données projet'!$A$269:$I$289,2,0)</f>
        <v>174.35897435897436</v>
      </c>
      <c r="GS83" s="13">
        <f>VLOOKUP(A83,'Données projet'!$A$269:$I$289,9,0)</f>
        <v>3.2051282051282044</v>
      </c>
      <c r="GT83" s="13">
        <f t="array" ref="GT83">INDEX(GS:GS,MIN(IF(ISNUMBER(GS83:GS279),ROW(GS83:GS279),"")))</f>
        <v>3.2051282051282044</v>
      </c>
      <c r="GU83" s="13">
        <f>IF('Données projet'!$A$270&gt;35,GU82+GT83-HC82,IF(A83&lt;'Données projet'!$A$270,$GR$205^A83,IF(A83='Données projet'!$A$270,'Données projet'!$B$270,GU82+GT83-HC82)))</f>
        <v>174.35897435897445</v>
      </c>
      <c r="GV83" s="18">
        <f>GU83*VLOOKUP('Données projet'!$B$18,Paramètres!$A$1:$I$89,3,0)*VLOOKUP('Données projet'!$B$18,Paramètres!$A$1:$I$89,5,0)</f>
        <v>116.96000000000005</v>
      </c>
      <c r="GW83" s="14">
        <f t="shared" si="105"/>
        <v>30.964913833098269</v>
      </c>
      <c r="GX83" s="22">
        <f t="shared" si="82"/>
        <v>257.63589159264626</v>
      </c>
      <c r="GY83" s="62">
        <f t="shared" si="83"/>
        <v>523.89075755130125</v>
      </c>
      <c r="GZ83" s="62">
        <f ca="1">AVERAGE(OFFSET($GY$3,0,0,'Données projet'!$E$18+1,1))-AVERAGE(OFFSET($H$3,0,0,'Données projet'!$E$18+1,1))</f>
        <v>254.35742752782755</v>
      </c>
      <c r="HA83" s="62">
        <f t="shared" si="106"/>
        <v>171.79611712137395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>
        <f>EXP(-LN(2)/35)*HG82+(1-EXP(-LN(2)/35))/(LN(2)/35)*HC83*HD83*VLOOKUP('Données projet'!$B$18,Paramètres!$A$1:$I$89,3,0)*0.475*44/12</f>
        <v>0</v>
      </c>
      <c r="HH83" s="23">
        <f>EXP(-LN(2)/25)*HH82+(1-EXP(-LN(2)/25))/(LN(2)/25)*Calculateur!HC83*Calculateur!HE83*VLOOKUP('Données projet'!$B$18,Paramètres!$A$1:$I$89,3,0)*0.475*44/12</f>
        <v>0</v>
      </c>
      <c r="HI83" s="23">
        <f>EXP(-LN(2)/2)*HI82+(1-EXP(-LN(2)/2))/(LN(2)/2)*HC83*HF83*VLOOKUP('Données projet'!$B$18,Paramètres!$A$1:$I$89,3,0)*0.475*44/12</f>
        <v>0</v>
      </c>
      <c r="HJ83" s="24">
        <f t="shared" si="84"/>
        <v>0</v>
      </c>
    </row>
    <row r="84" spans="1:218" s="5" customFormat="1" x14ac:dyDescent="0.3">
      <c r="A84" s="11">
        <f t="shared" si="85"/>
        <v>81</v>
      </c>
      <c r="B84" s="76">
        <f>'Scénario référence'!$B$16*5+'Scénario référence'!$B$17*0+'Scénario référence'!$B$18*5</f>
        <v>3.9405000000000001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14.448500000000001</v>
      </c>
      <c r="H84" s="69">
        <f t="shared" si="56"/>
        <v>161.30656666666667</v>
      </c>
      <c r="I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62.743077317060539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3.5471153846153847</v>
      </c>
      <c r="N84" s="14">
        <f>IF('Données projet'!$A$36&gt;35,N83+M84-V83,IF(A84&lt;'Données projet'!$A$36,$K$205^A84,IF(A84='Données projet'!$A$36,'Données projet'!$B$36,N83+M84-V83)))</f>
        <v>137.33749999999998</v>
      </c>
      <c r="O84" s="14">
        <f>N84*VLOOKUP('Données projet'!$B$9,Paramètres!$A$1:$I$89,3,0)*VLOOKUP('Données projet'!$B$9,Paramètres!$A$1:$I$89,5,0)</f>
        <v>80.342437499999988</v>
      </c>
      <c r="P84" s="14">
        <f t="shared" si="87"/>
        <v>22.220891052260587</v>
      </c>
      <c r="Q84" s="22">
        <f t="shared" si="54"/>
        <v>178.63113056185384</v>
      </c>
      <c r="R84" s="62">
        <f t="shared" si="55"/>
        <v>445.35574739107585</v>
      </c>
      <c r="S84" s="62">
        <f ca="1">AVERAGE(OFFSET($R$3,0,0,'Données projet'!$E$9+1,1))-AVERAGE(OFFSET($H$3,0,0,'Données projet'!$E$9+1,1))</f>
        <v>210.54472399593521</v>
      </c>
      <c r="T84" s="62">
        <f t="shared" si="88"/>
        <v>181.14158435194193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62.743077317060539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1.7799999999999954</v>
      </c>
      <c r="AI84" s="14">
        <f>IF('Données projet'!$A$62&gt;35,AI83+AH84-AQ83,IF(A84&lt;'Données projet'!$A$62,$AF$205^A84,IF(A84='Données projet'!$A$62,'Données projet'!$B$62,AI83+AH84-AQ83)))</f>
        <v>290.07999999999976</v>
      </c>
      <c r="AJ84" s="14">
        <f>AI84*VLOOKUP('Données projet'!$B$10,Paramètres!$A$1:$I$89,3,0)*VLOOKUP('Données projet'!$B$10,Paramètres!$A$1:$I$89,5,0)</f>
        <v>150.84159999999989</v>
      </c>
      <c r="AK84" s="14">
        <f t="shared" si="89"/>
        <v>38.769779917742092</v>
      </c>
      <c r="AL84" s="22">
        <f t="shared" si="58"/>
        <v>330.23982002340057</v>
      </c>
      <c r="AM84" s="62">
        <f t="shared" si="59"/>
        <v>596.96443685262261</v>
      </c>
      <c r="AN84" s="62">
        <f ca="1">AVERAGE(OFFSET($AM$3,0,0,'Données projet'!$E$10+1,1))-AVERAGE(OFFSET($H$3,0,0,'Données projet'!$E$10+1,1))</f>
        <v>289.05608923588198</v>
      </c>
      <c r="AO84" s="62">
        <f t="shared" si="90"/>
        <v>220.06639020312738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62.743077317060539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1.5429166666666674</v>
      </c>
      <c r="BD84" s="13">
        <f>IF('Données projet'!$A$88&gt;35,BD83+BC84-BL83,IF(A84&lt;'Données projet'!$A$88,$BA$205^A84,IF(A84='Données projet'!$A$88,'Données projet'!$B$88,BD83+BC84-BL83)))</f>
        <v>92.522083333333271</v>
      </c>
      <c r="BE84" s="14">
        <f>BD84*VLOOKUP('Données projet'!$B$11,Paramètres!$A$1:$I$89,3,0)*VLOOKUP('Données projet'!$B$11,Paramètres!$A$1:$I$89,5,0)</f>
        <v>106.58543999999992</v>
      </c>
      <c r="BF84" s="14">
        <f t="shared" si="91"/>
        <v>28.525017119169313</v>
      </c>
      <c r="BG84" s="22">
        <f t="shared" si="61"/>
        <v>235.31737948255306</v>
      </c>
      <c r="BH84" s="62">
        <f t="shared" si="62"/>
        <v>502.04199631177505</v>
      </c>
      <c r="BI84" s="62">
        <f ca="1">AVERAGE(OFFSET($BH$3,0,0,'Données projet'!$E$11+1,1))-AVERAGE(OFFSET($H$3,0,0,'Données projet'!$E$11+1,1))</f>
        <v>299.54950406029354</v>
      </c>
      <c r="BJ84" s="62">
        <f t="shared" si="92"/>
        <v>208.26364698165739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62.743077317060539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3.2051282051282044</v>
      </c>
      <c r="BY84" s="13">
        <f>IF('Données projet'!$A$114&gt;35,BY83+BX84-CG83,IF(A84&lt;'Données projet'!$A$114,$BV$205^A84,IF(A84='Données projet'!$A$114,'Données projet'!$B$114,BY83+BX84-CG83)))</f>
        <v>194.87179487179475</v>
      </c>
      <c r="BZ84" s="14">
        <f>BY84*VLOOKUP('Données projet'!$B$12,Paramètres!$A$1:$I$89,3,0)*VLOOKUP('Données projet'!$B$12,Paramètres!$A$1:$I$89,5,0)</f>
        <v>209.75999999999985</v>
      </c>
      <c r="CA84" s="14">
        <f t="shared" si="93"/>
        <v>51.883136170093586</v>
      </c>
      <c r="CB84" s="22">
        <f t="shared" si="64"/>
        <v>455.69512882957935</v>
      </c>
      <c r="CC84" s="62">
        <f t="shared" si="65"/>
        <v>722.41974565880128</v>
      </c>
      <c r="CD84" s="62">
        <f ca="1">AVERAGE(OFFSET($CC$3,0,0,'Données projet'!$E$12+1,1))-AVERAGE(OFFSET($H$3,0,0,'Données projet'!$E$12+1,1))</f>
        <v>441.30518831297212</v>
      </c>
      <c r="CE84" s="62">
        <f t="shared" si="94"/>
        <v>270.42872405271851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62.743077317060539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-1.1368683772161603E-13</v>
      </c>
      <c r="CU84" s="18">
        <f>CT84*VLOOKUP('Données projet'!$B$13,Paramètres!$A$1:$I$89,3,0)*VLOOKUP('Données projet'!$B$13,Paramètres!$A$1:$I$89,5,0)</f>
        <v>-9.9316821433603781E-14</v>
      </c>
      <c r="CV84" s="14" t="e">
        <f t="shared" si="95"/>
        <v>#NUM!</v>
      </c>
      <c r="CW84" s="22" t="e">
        <f t="shared" si="67"/>
        <v>#NUM!</v>
      </c>
      <c r="CX84" s="62" t="e">
        <f t="shared" si="68"/>
        <v>#NUM!</v>
      </c>
      <c r="CY84" s="62">
        <f ca="1">AVERAGE(OFFSET($CX$3,0,0,'Données projet'!$E$13+1,1))-AVERAGE(OFFSET($H$3,0,0,'Données projet'!$E$13+1,1))</f>
        <v>310.81258463659196</v>
      </c>
      <c r="CZ84" s="62">
        <f t="shared" si="96"/>
        <v>287.31099756692083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62.743077317060539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3.2051282051282044</v>
      </c>
      <c r="DO84" s="13">
        <f>IF('Données projet'!$A$166&gt;35,DO83+DN84-DW83,IF(A84&lt;'Données projet'!$A$166,$DL$205^A84,IF(A84='Données projet'!$A$166,'Données projet'!$B$166,DO83+DN84-DW83)))</f>
        <v>194.87179487179475</v>
      </c>
      <c r="DP84" s="18">
        <f>DO84*VLOOKUP('Données projet'!$B$14,Paramètres!$A$1:$I$89,3,0)*VLOOKUP('Données projet'!$B$14,Paramètres!$A$1:$I$89,5,0)</f>
        <v>203.67999999999989</v>
      </c>
      <c r="DQ84" s="14">
        <f t="shared" si="97"/>
        <v>50.552060139028619</v>
      </c>
      <c r="DR84" s="22">
        <f t="shared" si="70"/>
        <v>442.78750474214127</v>
      </c>
      <c r="DS84" s="62">
        <f t="shared" si="71"/>
        <v>709.5121215713632</v>
      </c>
      <c r="DT84" s="62">
        <f ca="1">AVERAGE(OFFSET($DS$3,0,0,'Données projet'!$E$14+1,1))-AVERAGE(OFFSET($H$3,0,0,'Données projet'!$E$14+1,1))</f>
        <v>431.19274104373625</v>
      </c>
      <c r="DU84" s="62">
        <f t="shared" si="98"/>
        <v>264.67919175178133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62.743077317060539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>
        <f>VLOOKUP(A84,'Données projet'!$A$191:$I$211,2,0)</f>
        <v>328.7076923076923</v>
      </c>
      <c r="EH84" s="13">
        <f>VLOOKUP(A84,'Données projet'!$A$191:$I$211,9,0)</f>
        <v>8.9320512820512761</v>
      </c>
      <c r="EI84" s="13">
        <f t="array" ref="EI84">INDEX(EH:EH,MIN(IF(ISNUMBER(EH84:EH280),ROW(EH84:EH280),"")))</f>
        <v>8.9320512820512761</v>
      </c>
      <c r="EJ84" s="13">
        <f>IF('Données projet'!$A$192&gt;35,EJ83+EI84-ER83,IF(A84&lt;'Données projet'!$A$192,$EG$205^A84,IF(A84='Données projet'!$A$192,'Données projet'!$B$192,EJ83+EI84-ER83)))</f>
        <v>328.7076923076919</v>
      </c>
      <c r="EK84" s="18">
        <f>EJ84*VLOOKUP('Données projet'!$B$15,Paramètres!$A$1:$I$89,3,0)*VLOOKUP('Données projet'!$B$15,Paramètres!$A$1:$I$89,5,0)</f>
        <v>153.83519999999982</v>
      </c>
      <c r="EL84" s="14">
        <f t="shared" si="99"/>
        <v>39.44886382269889</v>
      </c>
      <c r="EM84" s="22">
        <f t="shared" si="73"/>
        <v>336.63641115786692</v>
      </c>
      <c r="EN84" s="62">
        <f t="shared" si="74"/>
        <v>603.36102798708885</v>
      </c>
      <c r="EO84" s="62">
        <f ca="1">AVERAGE(OFFSET($EN$3,0,0,'Données projet'!$E$15+1,1))-AVERAGE(OFFSET($H$3,0,0,'Données projet'!$E$15+1,1))</f>
        <v>291.68530745507815</v>
      </c>
      <c r="EP84" s="62">
        <f t="shared" si="100"/>
        <v>175.95121106728979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0</v>
      </c>
      <c r="EZ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62.743077317060539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3</v>
      </c>
      <c r="FE84" s="13">
        <f>IF('Données projet'!$A$218&gt;35,FE83+FD84-FM83,IF(A84&lt;'Données projet'!$A$218,$FB$205^A84,IF(A84='Données projet'!$A$218,'Données projet'!$B$218,FE83+FD84-FM83)))</f>
        <v>180.99999999999983</v>
      </c>
      <c r="FF84" s="18">
        <f>FE84*VLOOKUP('Données projet'!$B$16,Paramètres!$A$1:$I$89,3,0)*VLOOKUP('Données projet'!$B$16,Paramètres!$A$1:$I$89,5,0)</f>
        <v>118.59119999999989</v>
      </c>
      <c r="FG84" s="14">
        <f t="shared" si="101"/>
        <v>31.346194334434038</v>
      </c>
      <c r="FH84" s="22">
        <f t="shared" si="76"/>
        <v>261.14096179913906</v>
      </c>
      <c r="FI84" s="62">
        <f t="shared" si="77"/>
        <v>527.86557862836105</v>
      </c>
      <c r="FJ84" s="62">
        <f ca="1">AVERAGE(OFFSET($FI$3,0,0,'Données projet'!$E$16+1,1))-AVERAGE(OFFSET($H$3,0,0,'Données projet'!$E$16+1,1))</f>
        <v>248.75689726928428</v>
      </c>
      <c r="FK84" s="62">
        <f t="shared" si="102"/>
        <v>232.02291680388336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projet'!$B$16,Paramètres!$A$1:$I$89,3,0)*0.475*44/12</f>
        <v>0</v>
      </c>
      <c r="FR84" s="23">
        <f>EXP(-LN(2)/25)*FR83+(1-EXP(-LN(2)/25))/(LN(2)/25)*Calculateur!FM84*Calculateur!FO84*VLOOKUP('Données projet'!$B$16,Paramètres!$A$1:$I$89,3,0)*0.475*44/12</f>
        <v>0</v>
      </c>
      <c r="FS84" s="23">
        <f>EXP(-LN(2)/2)*FS83+(1-EXP(-LN(2)/2))/(LN(2)/2)*FM84*FP84*VLOOKUP('Données projet'!$B$16,Paramètres!$A$1:$I$89,3,0)*0.475*44/12</f>
        <v>0</v>
      </c>
      <c r="FT84" s="24">
        <f t="shared" si="78"/>
        <v>0</v>
      </c>
      <c r="FU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62.743077317060539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9.8461538461538467</v>
      </c>
      <c r="FZ84" s="13">
        <f>IF('Données projet'!$A$244&gt;35,FZ83+FY84-GH83,IF(A84&lt;'Données projet'!$A$244,$FW$205^A84,IF(A84='Données projet'!$A$244,'Données projet'!$B$244,FZ83+FY84-GH83)))</f>
        <v>295.53846153846183</v>
      </c>
      <c r="GA84" s="18">
        <f>FZ84*VLOOKUP('Données projet'!$B$17,Paramètres!$A$1:$I$89,3,0)*VLOOKUP('Données projet'!$B$17,Paramètres!$A$1:$I$89,5,0)</f>
        <v>176.7320000000002</v>
      </c>
      <c r="GB84" s="14">
        <f t="shared" si="103"/>
        <v>44.594342874150655</v>
      </c>
      <c r="GC84" s="22">
        <f t="shared" si="79"/>
        <v>385.47671383914604</v>
      </c>
      <c r="GD84" s="62">
        <f t="shared" si="80"/>
        <v>652.20133066836797</v>
      </c>
      <c r="GE84" s="62">
        <f ca="1">AVERAGE(OFFSET($GD$3,0,0,'Données projet'!$E$17+1,1))-AVERAGE(OFFSET($H$3,0,0,'Données projet'!$E$17+1,1))</f>
        <v>315.909549580511</v>
      </c>
      <c r="GF84" s="62">
        <f t="shared" si="104"/>
        <v>208.56856525402051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projet'!$B$17,Paramètres!$A$1:$I$89,3,0)*0.475*44/12</f>
        <v>0</v>
      </c>
      <c r="GM84" s="23">
        <f>EXP(-LN(2)/25)*GM83+(1-EXP(-LN(2)/25))/(LN(2)/25)*Calculateur!GH84*Calculateur!GJ84*VLOOKUP('Données projet'!$B$17,Paramètres!$A$1:$I$89,3,0)*0.475*44/12</f>
        <v>0</v>
      </c>
      <c r="GN84" s="23">
        <f>EXP(-LN(2)/2)*GN83+(1-EXP(-LN(2)/2))/(LN(2)/2)*GH84*GK84*VLOOKUP('Données projet'!$B$17,Paramètres!$A$1:$I$89,3,0)*0.475*44/12</f>
        <v>0</v>
      </c>
      <c r="GO84" s="23">
        <f t="shared" si="81"/>
        <v>0</v>
      </c>
      <c r="GP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62.743077317060539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2.9487179487179445</v>
      </c>
      <c r="GU84" s="13">
        <f>IF('Données projet'!$A$270&gt;35,GU83+GT84-HC83,IF(A84&lt;'Données projet'!$A$270,$GR$205^A84,IF(A84='Données projet'!$A$270,'Données projet'!$B$270,GU83+GT84-HC83)))</f>
        <v>177.30769230769241</v>
      </c>
      <c r="GV84" s="18">
        <f>GU84*VLOOKUP('Données projet'!$B$18,Paramètres!$A$1:$I$89,3,0)*VLOOKUP('Données projet'!$B$18,Paramètres!$A$1:$I$89,5,0)</f>
        <v>118.93800000000007</v>
      </c>
      <c r="GW84" s="14">
        <f t="shared" si="105"/>
        <v>31.427177232216376</v>
      </c>
      <c r="GX84" s="22">
        <f t="shared" si="82"/>
        <v>261.88601701277696</v>
      </c>
      <c r="GY84" s="62">
        <f t="shared" si="83"/>
        <v>528.61063384199895</v>
      </c>
      <c r="GZ84" s="62">
        <f ca="1">AVERAGE(OFFSET($GY$3,0,0,'Données projet'!$E$18+1,1))-AVERAGE(OFFSET($H$3,0,0,'Données projet'!$E$18+1,1))</f>
        <v>254.35742752782755</v>
      </c>
      <c r="HA84" s="62">
        <f t="shared" si="106"/>
        <v>171.79611712137395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>
        <f>EXP(-LN(2)/35)*HG83+(1-EXP(-LN(2)/35))/(LN(2)/35)*HC84*HD84*VLOOKUP('Données projet'!$B$18,Paramètres!$A$1:$I$89,3,0)*0.475*44/12</f>
        <v>0</v>
      </c>
      <c r="HH84" s="23">
        <f>EXP(-LN(2)/25)*HH83+(1-EXP(-LN(2)/25))/(LN(2)/25)*Calculateur!HC84*Calculateur!HE84*VLOOKUP('Données projet'!$B$18,Paramètres!$A$1:$I$89,3,0)*0.475*44/12</f>
        <v>0</v>
      </c>
      <c r="HI84" s="23">
        <f>EXP(-LN(2)/2)*HI83+(1-EXP(-LN(2)/2))/(LN(2)/2)*HC84*HF84*VLOOKUP('Données projet'!$B$18,Paramètres!$A$1:$I$89,3,0)*0.475*44/12</f>
        <v>0</v>
      </c>
      <c r="HJ84" s="24">
        <f t="shared" si="84"/>
        <v>0</v>
      </c>
    </row>
    <row r="85" spans="1:218" s="5" customFormat="1" x14ac:dyDescent="0.3">
      <c r="A85" s="11">
        <f t="shared" si="85"/>
        <v>82</v>
      </c>
      <c r="B85" s="76">
        <f>'Scénario référence'!$B$16*5+'Scénario référence'!$B$17*0+'Scénario référence'!$B$18*5</f>
        <v>3.9405000000000001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14.448500000000001</v>
      </c>
      <c r="H85" s="69">
        <f t="shared" si="56"/>
        <v>161.30656666666667</v>
      </c>
      <c r="I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62.868968701560959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>
        <f>VLOOKUP(A85,'Données projet'!$A$35:$I$55,2,0)</f>
        <v>140.88461538461539</v>
      </c>
      <c r="L85" s="13">
        <f>VLOOKUP(A85,'Données projet'!$A$35:$I$55,9,0)</f>
        <v>3.5471153846153847</v>
      </c>
      <c r="M85" s="13">
        <f t="array" ref="M85">INDEX(L:L,MIN(IF(ISNUMBER(L85:L281),ROW(L85:L281),"")))</f>
        <v>3.5471153846153847</v>
      </c>
      <c r="N85" s="14">
        <f>IF('Données projet'!$A$36&gt;35,N84+M85-V84,IF(A85&lt;'Données projet'!$A$36,$K$205^A85,IF(A85='Données projet'!$A$36,'Données projet'!$B$36,N84+M85-V84)))</f>
        <v>140.88461538461536</v>
      </c>
      <c r="O85" s="14">
        <f>N85*VLOOKUP('Données projet'!$B$9,Paramètres!$A$1:$I$89,3,0)*VLOOKUP('Données projet'!$B$9,Paramètres!$A$1:$I$89,5,0)</f>
        <v>82.41749999999999</v>
      </c>
      <c r="P85" s="14">
        <f t="shared" si="87"/>
        <v>22.727247382676751</v>
      </c>
      <c r="Q85" s="22">
        <f t="shared" si="54"/>
        <v>183.12710169149531</v>
      </c>
      <c r="R85" s="62">
        <f t="shared" si="55"/>
        <v>450.31332026388543</v>
      </c>
      <c r="S85" s="62">
        <f ca="1">AVERAGE(OFFSET($R$3,0,0,'Données projet'!$E$9+1,1))-AVERAGE(OFFSET($H$3,0,0,'Données projet'!$E$9+1,1))</f>
        <v>210.54472399593521</v>
      </c>
      <c r="T85" s="62">
        <f t="shared" si="88"/>
        <v>181.14158435194193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62.868968701560959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1.7799999999999954</v>
      </c>
      <c r="AI85" s="14">
        <f>IF('Données projet'!$A$62&gt;35,AI84+AH85-AQ84,IF(A85&lt;'Données projet'!$A$62,$AF$205^A85,IF(A85='Données projet'!$A$62,'Données projet'!$B$62,AI84+AH85-AQ84)))</f>
        <v>291.85999999999973</v>
      </c>
      <c r="AJ85" s="14">
        <f>AI85*VLOOKUP('Données projet'!$B$10,Paramètres!$A$1:$I$89,3,0)*VLOOKUP('Données projet'!$B$10,Paramètres!$A$1:$I$89,5,0)</f>
        <v>151.76719999999989</v>
      </c>
      <c r="AK85" s="14">
        <f t="shared" si="89"/>
        <v>38.979913993756242</v>
      </c>
      <c r="AL85" s="22">
        <f t="shared" si="58"/>
        <v>332.21789020579189</v>
      </c>
      <c r="AM85" s="62">
        <f t="shared" si="59"/>
        <v>599.40410877818204</v>
      </c>
      <c r="AN85" s="62">
        <f ca="1">AVERAGE(OFFSET($AM$3,0,0,'Données projet'!$E$10+1,1))-AVERAGE(OFFSET($H$3,0,0,'Données projet'!$E$10+1,1))</f>
        <v>289.05608923588198</v>
      </c>
      <c r="AO85" s="62">
        <f t="shared" si="90"/>
        <v>220.06639020312738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62.868968701560959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1.5429166666666674</v>
      </c>
      <c r="BD85" s="13">
        <f>IF('Données projet'!$A$88&gt;35,BD84+BC85-BL84,IF(A85&lt;'Données projet'!$A$88,$BA$205^A85,IF(A85='Données projet'!$A$88,'Données projet'!$B$88,BD84+BC85-BL84)))</f>
        <v>94.064999999999941</v>
      </c>
      <c r="BE85" s="14">
        <f>BD85*VLOOKUP('Données projet'!$B$11,Paramètres!$A$1:$I$89,3,0)*VLOOKUP('Données projet'!$B$11,Paramètres!$A$1:$I$89,5,0)</f>
        <v>108.36287999999992</v>
      </c>
      <c r="BF85" s="14">
        <f t="shared" si="91"/>
        <v>28.944930362905506</v>
      </c>
      <c r="BG85" s="22">
        <f t="shared" si="61"/>
        <v>239.14443638206026</v>
      </c>
      <c r="BH85" s="62">
        <f t="shared" si="62"/>
        <v>506.33065495445044</v>
      </c>
      <c r="BI85" s="62">
        <f ca="1">AVERAGE(OFFSET($BH$3,0,0,'Données projet'!$E$11+1,1))-AVERAGE(OFFSET($H$3,0,0,'Données projet'!$E$11+1,1))</f>
        <v>299.54950406029354</v>
      </c>
      <c r="BJ85" s="62">
        <f t="shared" si="92"/>
        <v>208.26364698165739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62.868968701560959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3.2051282051282044</v>
      </c>
      <c r="BY85" s="13">
        <f>IF('Données projet'!$A$114&gt;35,BY84+BX85-CG84,IF(A85&lt;'Données projet'!$A$114,$BV$205^A85,IF(A85='Données projet'!$A$114,'Données projet'!$B$114,BY84+BX85-CG84)))</f>
        <v>198.07692307692295</v>
      </c>
      <c r="BZ85" s="14">
        <f>BY85*VLOOKUP('Données projet'!$B$12,Paramètres!$A$1:$I$89,3,0)*VLOOKUP('Données projet'!$B$12,Paramètres!$A$1:$I$89,5,0)</f>
        <v>213.20999999999984</v>
      </c>
      <c r="CA85" s="14">
        <f t="shared" si="93"/>
        <v>52.636430938065665</v>
      </c>
      <c r="CB85" s="22">
        <f t="shared" si="64"/>
        <v>463.01586721713073</v>
      </c>
      <c r="CC85" s="62">
        <f t="shared" si="65"/>
        <v>730.20208578952088</v>
      </c>
      <c r="CD85" s="62">
        <f ca="1">AVERAGE(OFFSET($CC$3,0,0,'Données projet'!$E$12+1,1))-AVERAGE(OFFSET($H$3,0,0,'Données projet'!$E$12+1,1))</f>
        <v>441.30518831297212</v>
      </c>
      <c r="CE85" s="62">
        <f t="shared" si="94"/>
        <v>270.42872405271851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62.868968701560959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-1.1368683772161603E-13</v>
      </c>
      <c r="CU85" s="18">
        <f>CT85*VLOOKUP('Données projet'!$B$13,Paramètres!$A$1:$I$89,3,0)*VLOOKUP('Données projet'!$B$13,Paramètres!$A$1:$I$89,5,0)</f>
        <v>-9.9316821433603781E-14</v>
      </c>
      <c r="CV85" s="14" t="e">
        <f t="shared" si="95"/>
        <v>#NUM!</v>
      </c>
      <c r="CW85" s="22" t="e">
        <f t="shared" si="67"/>
        <v>#NUM!</v>
      </c>
      <c r="CX85" s="62" t="e">
        <f t="shared" si="68"/>
        <v>#NUM!</v>
      </c>
      <c r="CY85" s="62">
        <f ca="1">AVERAGE(OFFSET($CX$3,0,0,'Données projet'!$E$13+1,1))-AVERAGE(OFFSET($H$3,0,0,'Données projet'!$E$13+1,1))</f>
        <v>310.81258463659196</v>
      </c>
      <c r="CZ85" s="62">
        <f t="shared" si="96"/>
        <v>287.31099756692083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62.868968701560959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3.2051282051282044</v>
      </c>
      <c r="DO85" s="13">
        <f>IF('Données projet'!$A$166&gt;35,DO84+DN85-DW84,IF(A85&lt;'Données projet'!$A$166,$DL$205^A85,IF(A85='Données projet'!$A$166,'Données projet'!$B$166,DO84+DN85-DW84)))</f>
        <v>198.07692307692295</v>
      </c>
      <c r="DP85" s="18">
        <f>DO85*VLOOKUP('Données projet'!$B$14,Paramètres!$A$1:$I$89,3,0)*VLOOKUP('Données projet'!$B$14,Paramètres!$A$1:$I$89,5,0)</f>
        <v>207.02999999999992</v>
      </c>
      <c r="DQ85" s="14">
        <f t="shared" si="97"/>
        <v>51.286028923955122</v>
      </c>
      <c r="DR85" s="22">
        <f t="shared" si="70"/>
        <v>449.90041704255503</v>
      </c>
      <c r="DS85" s="62">
        <f t="shared" si="71"/>
        <v>717.08663561494518</v>
      </c>
      <c r="DT85" s="62">
        <f ca="1">AVERAGE(OFFSET($DS$3,0,0,'Données projet'!$E$14+1,1))-AVERAGE(OFFSET($H$3,0,0,'Données projet'!$E$14+1,1))</f>
        <v>431.19274104373625</v>
      </c>
      <c r="DU85" s="62">
        <f t="shared" si="98"/>
        <v>264.67919175178133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62.868968701560959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9.0717948717948698</v>
      </c>
      <c r="EJ85" s="13">
        <f>IF('Données projet'!$A$192&gt;35,EJ84+EI85-ER84,IF(A85&lt;'Données projet'!$A$192,$EG$205^A85,IF(A85='Données projet'!$A$192,'Données projet'!$B$192,EJ84+EI85-ER84)))</f>
        <v>337.77948717948675</v>
      </c>
      <c r="EK85" s="18">
        <f>EJ85*VLOOKUP('Données projet'!$B$15,Paramètres!$A$1:$I$89,3,0)*VLOOKUP('Données projet'!$B$15,Paramètres!$A$1:$I$89,5,0)</f>
        <v>158.08079999999978</v>
      </c>
      <c r="EL85" s="14">
        <f t="shared" si="99"/>
        <v>40.409330933945405</v>
      </c>
      <c r="EM85" s="22">
        <f t="shared" si="73"/>
        <v>345.70364470995446</v>
      </c>
      <c r="EN85" s="62">
        <f t="shared" si="74"/>
        <v>612.88986328234455</v>
      </c>
      <c r="EO85" s="62">
        <f ca="1">AVERAGE(OFFSET($EN$3,0,0,'Données projet'!$E$15+1,1))-AVERAGE(OFFSET($H$3,0,0,'Données projet'!$E$15+1,1))</f>
        <v>291.68530745507815</v>
      </c>
      <c r="EP85" s="62">
        <f t="shared" si="100"/>
        <v>175.95121106728979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0</v>
      </c>
      <c r="EZ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62.868968701560959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3</v>
      </c>
      <c r="FE85" s="13">
        <f>IF('Données projet'!$A$218&gt;35,FE84+FD85-FM84,IF(A85&lt;'Données projet'!$A$218,$FB$205^A85,IF(A85='Données projet'!$A$218,'Données projet'!$B$218,FE84+FD85-FM84)))</f>
        <v>183.99999999999983</v>
      </c>
      <c r="FF85" s="18">
        <f>FE85*VLOOKUP('Données projet'!$B$16,Paramètres!$A$1:$I$89,3,0)*VLOOKUP('Données projet'!$B$16,Paramètres!$A$1:$I$89,5,0)</f>
        <v>120.5567999999999</v>
      </c>
      <c r="FG85" s="14">
        <f t="shared" si="101"/>
        <v>31.804828741198751</v>
      </c>
      <c r="FH85" s="22">
        <f t="shared" si="76"/>
        <v>265.36317005758764</v>
      </c>
      <c r="FI85" s="62">
        <f t="shared" si="77"/>
        <v>532.54938862997778</v>
      </c>
      <c r="FJ85" s="62">
        <f ca="1">AVERAGE(OFFSET($FI$3,0,0,'Données projet'!$E$16+1,1))-AVERAGE(OFFSET($H$3,0,0,'Données projet'!$E$16+1,1))</f>
        <v>248.75689726928428</v>
      </c>
      <c r="FK85" s="62">
        <f t="shared" si="102"/>
        <v>232.02291680388336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projet'!$B$16,Paramètres!$A$1:$I$89,3,0)*0.475*44/12</f>
        <v>0</v>
      </c>
      <c r="FR85" s="23">
        <f>EXP(-LN(2)/25)*FR84+(1-EXP(-LN(2)/25))/(LN(2)/25)*Calculateur!FM85*Calculateur!FO85*VLOOKUP('Données projet'!$B$16,Paramètres!$A$1:$I$89,3,0)*0.475*44/12</f>
        <v>0</v>
      </c>
      <c r="FS85" s="23">
        <f>EXP(-LN(2)/2)*FS84+(1-EXP(-LN(2)/2))/(LN(2)/2)*FM85*FP85*VLOOKUP('Données projet'!$B$16,Paramètres!$A$1:$I$89,3,0)*0.475*44/12</f>
        <v>0</v>
      </c>
      <c r="FT85" s="24">
        <f t="shared" si="78"/>
        <v>0</v>
      </c>
      <c r="FU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62.868968701560959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9.8461538461538467</v>
      </c>
      <c r="FZ85" s="13">
        <f>IF('Données projet'!$A$244&gt;35,FZ84+FY85-GH84,IF(A85&lt;'Données projet'!$A$244,$FW$205^A85,IF(A85='Données projet'!$A$244,'Données projet'!$B$244,FZ84+FY85-GH84)))</f>
        <v>305.3846153846157</v>
      </c>
      <c r="GA85" s="18">
        <f>FZ85*VLOOKUP('Données projet'!$B$17,Paramètres!$A$1:$I$89,3,0)*VLOOKUP('Données projet'!$B$17,Paramètres!$A$1:$I$89,5,0)</f>
        <v>182.62000000000018</v>
      </c>
      <c r="GB85" s="14">
        <f t="shared" si="103"/>
        <v>45.90459675472578</v>
      </c>
      <c r="GC85" s="22">
        <f t="shared" si="79"/>
        <v>398.01367268114768</v>
      </c>
      <c r="GD85" s="62">
        <f t="shared" si="80"/>
        <v>665.19989125353777</v>
      </c>
      <c r="GE85" s="62">
        <f ca="1">AVERAGE(OFFSET($GD$3,0,0,'Données projet'!$E$17+1,1))-AVERAGE(OFFSET($H$3,0,0,'Données projet'!$E$17+1,1))</f>
        <v>315.909549580511</v>
      </c>
      <c r="GF85" s="62">
        <f t="shared" si="104"/>
        <v>208.56856525402051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projet'!$B$17,Paramètres!$A$1:$I$89,3,0)*0.475*44/12</f>
        <v>0</v>
      </c>
      <c r="GM85" s="23">
        <f>EXP(-LN(2)/25)*GM84+(1-EXP(-LN(2)/25))/(LN(2)/25)*Calculateur!GH85*Calculateur!GJ85*VLOOKUP('Données projet'!$B$17,Paramètres!$A$1:$I$89,3,0)*0.475*44/12</f>
        <v>0</v>
      </c>
      <c r="GN85" s="23">
        <f>EXP(-LN(2)/2)*GN84+(1-EXP(-LN(2)/2))/(LN(2)/2)*GH85*GK85*VLOOKUP('Données projet'!$B$17,Paramètres!$A$1:$I$89,3,0)*0.475*44/12</f>
        <v>0</v>
      </c>
      <c r="GO85" s="23">
        <f t="shared" si="81"/>
        <v>0</v>
      </c>
      <c r="GP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62.868968701560959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2.9487179487179445</v>
      </c>
      <c r="GU85" s="13">
        <f>IF('Données projet'!$A$270&gt;35,GU84+GT85-HC84,IF(A85&lt;'Données projet'!$A$270,$GR$205^A85,IF(A85='Données projet'!$A$270,'Données projet'!$B$270,GU84+GT85-HC84)))</f>
        <v>180.25641025641036</v>
      </c>
      <c r="GV85" s="18">
        <f>GU85*VLOOKUP('Données projet'!$B$18,Paramètres!$A$1:$I$89,3,0)*VLOOKUP('Données projet'!$B$18,Paramètres!$A$1:$I$89,5,0)</f>
        <v>120.91600000000008</v>
      </c>
      <c r="GW85" s="14">
        <f t="shared" si="105"/>
        <v>31.888546607645925</v>
      </c>
      <c r="GX85" s="22">
        <f t="shared" si="82"/>
        <v>266.13458534165011</v>
      </c>
      <c r="GY85" s="62">
        <f t="shared" si="83"/>
        <v>533.3208039140402</v>
      </c>
      <c r="GZ85" s="62">
        <f ca="1">AVERAGE(OFFSET($GY$3,0,0,'Données projet'!$E$18+1,1))-AVERAGE(OFFSET($H$3,0,0,'Données projet'!$E$18+1,1))</f>
        <v>254.35742752782755</v>
      </c>
      <c r="HA85" s="62">
        <f t="shared" si="106"/>
        <v>171.79611712137395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>
        <f>EXP(-LN(2)/35)*HG84+(1-EXP(-LN(2)/35))/(LN(2)/35)*HC85*HD85*VLOOKUP('Données projet'!$B$18,Paramètres!$A$1:$I$89,3,0)*0.475*44/12</f>
        <v>0</v>
      </c>
      <c r="HH85" s="23">
        <f>EXP(-LN(2)/25)*HH84+(1-EXP(-LN(2)/25))/(LN(2)/25)*Calculateur!HC85*Calculateur!HE85*VLOOKUP('Données projet'!$B$18,Paramètres!$A$1:$I$89,3,0)*0.475*44/12</f>
        <v>0</v>
      </c>
      <c r="HI85" s="23">
        <f>EXP(-LN(2)/2)*HI84+(1-EXP(-LN(2)/2))/(LN(2)/2)*HC85*HF85*VLOOKUP('Données projet'!$B$18,Paramètres!$A$1:$I$89,3,0)*0.475*44/12</f>
        <v>0</v>
      </c>
      <c r="HJ85" s="24">
        <f t="shared" si="84"/>
        <v>0</v>
      </c>
    </row>
    <row r="86" spans="1:218" s="5" customFormat="1" x14ac:dyDescent="0.3">
      <c r="A86" s="11">
        <f t="shared" si="85"/>
        <v>83</v>
      </c>
      <c r="B86" s="76">
        <f>'Scénario référence'!$B$16*5+'Scénario référence'!$B$17*0+'Scénario référence'!$B$18*5</f>
        <v>3.9405000000000001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14.448500000000001</v>
      </c>
      <c r="H86" s="69">
        <f t="shared" si="56"/>
        <v>161.30656666666667</v>
      </c>
      <c r="I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62.992676151991262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3.6835164835164806</v>
      </c>
      <c r="N86" s="14">
        <f>IF('Données projet'!$A$36&gt;35,N85+M86-V85,IF(A86&lt;'Données projet'!$A$36,$K$205^A86,IF(A86='Données projet'!$A$36,'Données projet'!$B$36,N85+M86-V85)))</f>
        <v>144.56813186813184</v>
      </c>
      <c r="O86" s="14">
        <f>N86*VLOOKUP('Données projet'!$B$9,Paramètres!$A$1:$I$89,3,0)*VLOOKUP('Données projet'!$B$9,Paramètres!$A$1:$I$89,5,0)</f>
        <v>84.572357142857129</v>
      </c>
      <c r="P86" s="14">
        <f t="shared" si="87"/>
        <v>23.25150721803028</v>
      </c>
      <c r="Q86" s="22">
        <f t="shared" si="54"/>
        <v>187.79323042854557</v>
      </c>
      <c r="R86" s="62">
        <f t="shared" si="55"/>
        <v>455.4330429858469</v>
      </c>
      <c r="S86" s="62">
        <f ca="1">AVERAGE(OFFSET($R$3,0,0,'Données projet'!$E$9+1,1))-AVERAGE(OFFSET($H$3,0,0,'Données projet'!$E$9+1,1))</f>
        <v>210.54472399593521</v>
      </c>
      <c r="T86" s="62">
        <f t="shared" si="88"/>
        <v>181.14158435194193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62.992676151991262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1.7799999999999954</v>
      </c>
      <c r="AI86" s="14">
        <f>IF('Données projet'!$A$62&gt;35,AI85+AH86-AQ85,IF(A86&lt;'Données projet'!$A$62,$AF$205^A86,IF(A86='Données projet'!$A$62,'Données projet'!$B$62,AI85+AH86-AQ85)))</f>
        <v>293.6399999999997</v>
      </c>
      <c r="AJ86" s="14">
        <f>AI86*VLOOKUP('Données projet'!$B$10,Paramètres!$A$1:$I$89,3,0)*VLOOKUP('Données projet'!$B$10,Paramètres!$A$1:$I$89,5,0)</f>
        <v>152.69279999999986</v>
      </c>
      <c r="AK86" s="14">
        <f t="shared" si="89"/>
        <v>39.189898947127119</v>
      </c>
      <c r="AL86" s="22">
        <f t="shared" si="58"/>
        <v>334.19570066624613</v>
      </c>
      <c r="AM86" s="62">
        <f t="shared" si="59"/>
        <v>601.83551322354742</v>
      </c>
      <c r="AN86" s="62">
        <f ca="1">AVERAGE(OFFSET($AM$3,0,0,'Données projet'!$E$10+1,1))-AVERAGE(OFFSET($H$3,0,0,'Données projet'!$E$10+1,1))</f>
        <v>289.05608923588198</v>
      </c>
      <c r="AO86" s="62">
        <f t="shared" si="90"/>
        <v>220.06639020312738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62.992676151991262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1.5429166666666674</v>
      </c>
      <c r="BD86" s="13">
        <f>IF('Données projet'!$A$88&gt;35,BD85+BC86-BL85,IF(A86&lt;'Données projet'!$A$88,$BA$205^A86,IF(A86='Données projet'!$A$88,'Données projet'!$B$88,BD85+BC86-BL85)))</f>
        <v>95.607916666666611</v>
      </c>
      <c r="BE86" s="14">
        <f>BD86*VLOOKUP('Données projet'!$B$11,Paramètres!$A$1:$I$89,3,0)*VLOOKUP('Données projet'!$B$11,Paramètres!$A$1:$I$89,5,0)</f>
        <v>110.14031999999993</v>
      </c>
      <c r="BF86" s="14">
        <f t="shared" si="91"/>
        <v>29.364042605701115</v>
      </c>
      <c r="BG86" s="22">
        <f t="shared" si="61"/>
        <v>242.97009820492926</v>
      </c>
      <c r="BH86" s="62">
        <f t="shared" si="62"/>
        <v>510.60991076223058</v>
      </c>
      <c r="BI86" s="62">
        <f ca="1">AVERAGE(OFFSET($BH$3,0,0,'Données projet'!$E$11+1,1))-AVERAGE(OFFSET($H$3,0,0,'Données projet'!$E$11+1,1))</f>
        <v>299.54950406029354</v>
      </c>
      <c r="BJ86" s="62">
        <f t="shared" si="92"/>
        <v>208.26364698165739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62.992676151991262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3.2051282051282044</v>
      </c>
      <c r="BY86" s="13">
        <f>IF('Données projet'!$A$114&gt;35,BY85+BX86-CG85,IF(A86&lt;'Données projet'!$A$114,$BV$205^A86,IF(A86='Données projet'!$A$114,'Données projet'!$B$114,BY85+BX86-CG85)))</f>
        <v>201.28205128205116</v>
      </c>
      <c r="BZ86" s="14">
        <f>BY86*VLOOKUP('Données projet'!$B$12,Paramètres!$A$1:$I$89,3,0)*VLOOKUP('Données projet'!$B$12,Paramètres!$A$1:$I$89,5,0)</f>
        <v>216.65999999999988</v>
      </c>
      <c r="CA86" s="14">
        <f t="shared" si="93"/>
        <v>53.388308148934307</v>
      </c>
      <c r="CB86" s="22">
        <f t="shared" si="64"/>
        <v>470.33413669272704</v>
      </c>
      <c r="CC86" s="62">
        <f t="shared" si="65"/>
        <v>737.97394925002834</v>
      </c>
      <c r="CD86" s="62">
        <f ca="1">AVERAGE(OFFSET($CC$3,0,0,'Données projet'!$E$12+1,1))-AVERAGE(OFFSET($H$3,0,0,'Données projet'!$E$12+1,1))</f>
        <v>441.30518831297212</v>
      </c>
      <c r="CE86" s="62">
        <f t="shared" si="94"/>
        <v>270.42872405271851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62.992676151991262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-1.1368683772161603E-13</v>
      </c>
      <c r="CU86" s="18">
        <f>CT86*VLOOKUP('Données projet'!$B$13,Paramètres!$A$1:$I$89,3,0)*VLOOKUP('Données projet'!$B$13,Paramètres!$A$1:$I$89,5,0)</f>
        <v>-9.9316821433603781E-14</v>
      </c>
      <c r="CV86" s="14" t="e">
        <f t="shared" si="95"/>
        <v>#NUM!</v>
      </c>
      <c r="CW86" s="22" t="e">
        <f t="shared" si="67"/>
        <v>#NUM!</v>
      </c>
      <c r="CX86" s="62" t="e">
        <f t="shared" si="68"/>
        <v>#NUM!</v>
      </c>
      <c r="CY86" s="62">
        <f ca="1">AVERAGE(OFFSET($CX$3,0,0,'Données projet'!$E$13+1,1))-AVERAGE(OFFSET($H$3,0,0,'Données projet'!$E$13+1,1))</f>
        <v>310.81258463659196</v>
      </c>
      <c r="CZ86" s="62">
        <f t="shared" si="96"/>
        <v>287.31099756692083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62.992676151991262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3.2051282051282044</v>
      </c>
      <c r="DO86" s="13">
        <f>IF('Données projet'!$A$166&gt;35,DO85+DN86-DW85,IF(A86&lt;'Données projet'!$A$166,$DL$205^A86,IF(A86='Données projet'!$A$166,'Données projet'!$B$166,DO85+DN86-DW85)))</f>
        <v>201.28205128205116</v>
      </c>
      <c r="DP86" s="18">
        <f>DO86*VLOOKUP('Données projet'!$B$14,Paramètres!$A$1:$I$89,3,0)*VLOOKUP('Données projet'!$B$14,Paramètres!$A$1:$I$89,5,0)</f>
        <v>210.37999999999988</v>
      </c>
      <c r="DQ86" s="14">
        <f t="shared" si="97"/>
        <v>52.018616519592918</v>
      </c>
      <c r="DR86" s="22">
        <f t="shared" si="70"/>
        <v>457.01092377162405</v>
      </c>
      <c r="DS86" s="62">
        <f t="shared" si="71"/>
        <v>724.6507363289254</v>
      </c>
      <c r="DT86" s="62">
        <f ca="1">AVERAGE(OFFSET($DS$3,0,0,'Données projet'!$E$14+1,1))-AVERAGE(OFFSET($H$3,0,0,'Données projet'!$E$14+1,1))</f>
        <v>431.19274104373625</v>
      </c>
      <c r="DU86" s="62">
        <f t="shared" si="98"/>
        <v>264.67919175178133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62.992676151991262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9.0717948717948698</v>
      </c>
      <c r="EJ86" s="13">
        <f>IF('Données projet'!$A$192&gt;35,EJ85+EI86-ER85,IF(A86&lt;'Données projet'!$A$192,$EG$205^A86,IF(A86='Données projet'!$A$192,'Données projet'!$B$192,EJ85+EI86-ER85)))</f>
        <v>346.8512820512816</v>
      </c>
      <c r="EK86" s="18">
        <f>EJ86*VLOOKUP('Données projet'!$B$15,Paramètres!$A$1:$I$89,3,0)*VLOOKUP('Données projet'!$B$15,Paramètres!$A$1:$I$89,5,0)</f>
        <v>162.32639999999978</v>
      </c>
      <c r="EL86" s="14">
        <f t="shared" si="99"/>
        <v>41.366799766899412</v>
      </c>
      <c r="EM86" s="22">
        <f t="shared" si="73"/>
        <v>354.76565626068276</v>
      </c>
      <c r="EN86" s="62">
        <f t="shared" si="74"/>
        <v>622.405468817984</v>
      </c>
      <c r="EO86" s="62">
        <f ca="1">AVERAGE(OFFSET($EN$3,0,0,'Données projet'!$E$15+1,1))-AVERAGE(OFFSET($H$3,0,0,'Données projet'!$E$15+1,1))</f>
        <v>291.68530745507815</v>
      </c>
      <c r="EP86" s="62">
        <f t="shared" si="100"/>
        <v>175.95121106728979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0</v>
      </c>
      <c r="EZ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62.992676151991262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3</v>
      </c>
      <c r="FE86" s="13">
        <f>IF('Données projet'!$A$218&gt;35,FE85+FD86-FM85,IF(A86&lt;'Données projet'!$A$218,$FB$205^A86,IF(A86='Données projet'!$A$218,'Données projet'!$B$218,FE85+FD86-FM85)))</f>
        <v>186.99999999999983</v>
      </c>
      <c r="FF86" s="18">
        <f>FE86*VLOOKUP('Données projet'!$B$16,Paramètres!$A$1:$I$89,3,0)*VLOOKUP('Données projet'!$B$16,Paramètres!$A$1:$I$89,5,0)</f>
        <v>122.52239999999988</v>
      </c>
      <c r="FG86" s="14">
        <f t="shared" si="101"/>
        <v>32.262593524306261</v>
      </c>
      <c r="FH86" s="22">
        <f t="shared" si="76"/>
        <v>269.58386372149988</v>
      </c>
      <c r="FI86" s="62">
        <f t="shared" si="77"/>
        <v>537.22367627880112</v>
      </c>
      <c r="FJ86" s="62">
        <f ca="1">AVERAGE(OFFSET($FI$3,0,0,'Données projet'!$E$16+1,1))-AVERAGE(OFFSET($H$3,0,0,'Données projet'!$E$16+1,1))</f>
        <v>248.75689726928428</v>
      </c>
      <c r="FK86" s="62">
        <f t="shared" si="102"/>
        <v>232.02291680388336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projet'!$B$16,Paramètres!$A$1:$I$89,3,0)*0.475*44/12</f>
        <v>0</v>
      </c>
      <c r="FR86" s="23">
        <f>EXP(-LN(2)/25)*FR85+(1-EXP(-LN(2)/25))/(LN(2)/25)*Calculateur!FM86*Calculateur!FO86*VLOOKUP('Données projet'!$B$16,Paramètres!$A$1:$I$89,3,0)*0.475*44/12</f>
        <v>0</v>
      </c>
      <c r="FS86" s="23">
        <f>EXP(-LN(2)/2)*FS85+(1-EXP(-LN(2)/2))/(LN(2)/2)*FM86*FP86*VLOOKUP('Données projet'!$B$16,Paramètres!$A$1:$I$89,3,0)*0.475*44/12</f>
        <v>0</v>
      </c>
      <c r="FT86" s="24">
        <f t="shared" si="78"/>
        <v>0</v>
      </c>
      <c r="FU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62.992676151991262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9.8461538461538467</v>
      </c>
      <c r="FZ86" s="13">
        <f>IF('Données projet'!$A$244&gt;35,FZ85+FY86-GH85,IF(A86&lt;'Données projet'!$A$244,$FW$205^A86,IF(A86='Données projet'!$A$244,'Données projet'!$B$244,FZ85+FY86-GH85)))</f>
        <v>315.23076923076957</v>
      </c>
      <c r="GA86" s="18">
        <f>FZ86*VLOOKUP('Données projet'!$B$17,Paramètres!$A$1:$I$89,3,0)*VLOOKUP('Données projet'!$B$17,Paramètres!$A$1:$I$89,5,0)</f>
        <v>188.50800000000021</v>
      </c>
      <c r="GB86" s="14">
        <f t="shared" si="103"/>
        <v>47.209941638921379</v>
      </c>
      <c r="GC86" s="22">
        <f t="shared" si="79"/>
        <v>410.54208168778837</v>
      </c>
      <c r="GD86" s="62">
        <f t="shared" si="80"/>
        <v>678.18189424508967</v>
      </c>
      <c r="GE86" s="62">
        <f ca="1">AVERAGE(OFFSET($GD$3,0,0,'Données projet'!$E$17+1,1))-AVERAGE(OFFSET($H$3,0,0,'Données projet'!$E$17+1,1))</f>
        <v>315.909549580511</v>
      </c>
      <c r="GF86" s="62">
        <f t="shared" si="104"/>
        <v>208.56856525402051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projet'!$B$17,Paramètres!$A$1:$I$89,3,0)*0.475*44/12</f>
        <v>0</v>
      </c>
      <c r="GM86" s="23">
        <f>EXP(-LN(2)/25)*GM85+(1-EXP(-LN(2)/25))/(LN(2)/25)*Calculateur!GH86*Calculateur!GJ86*VLOOKUP('Données projet'!$B$17,Paramètres!$A$1:$I$89,3,0)*0.475*44/12</f>
        <v>0</v>
      </c>
      <c r="GN86" s="23">
        <f>EXP(-LN(2)/2)*GN85+(1-EXP(-LN(2)/2))/(LN(2)/2)*GH86*GK86*VLOOKUP('Données projet'!$B$17,Paramètres!$A$1:$I$89,3,0)*0.475*44/12</f>
        <v>0</v>
      </c>
      <c r="GO86" s="23">
        <f t="shared" si="81"/>
        <v>0</v>
      </c>
      <c r="GP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62.992676151991262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2.9487179487179445</v>
      </c>
      <c r="GU86" s="13">
        <f>IF('Données projet'!$A$270&gt;35,GU85+GT86-HC85,IF(A86&lt;'Données projet'!$A$270,$GR$205^A86,IF(A86='Données projet'!$A$270,'Données projet'!$B$270,GU85+GT86-HC85)))</f>
        <v>183.20512820512832</v>
      </c>
      <c r="GV86" s="18">
        <f>GU86*VLOOKUP('Données projet'!$B$18,Paramètres!$A$1:$I$89,3,0)*VLOOKUP('Données projet'!$B$18,Paramètres!$A$1:$I$89,5,0)</f>
        <v>122.89400000000008</v>
      </c>
      <c r="GW86" s="14">
        <f t="shared" si="105"/>
        <v>32.349038272505268</v>
      </c>
      <c r="GX86" s="22">
        <f t="shared" si="82"/>
        <v>270.38162499128015</v>
      </c>
      <c r="GY86" s="62">
        <f t="shared" si="83"/>
        <v>538.02143754858139</v>
      </c>
      <c r="GZ86" s="62">
        <f ca="1">AVERAGE(OFFSET($GY$3,0,0,'Données projet'!$E$18+1,1))-AVERAGE(OFFSET($H$3,0,0,'Données projet'!$E$18+1,1))</f>
        <v>254.35742752782755</v>
      </c>
      <c r="HA86" s="62">
        <f t="shared" si="106"/>
        <v>171.79611712137395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>
        <f>EXP(-LN(2)/35)*HG85+(1-EXP(-LN(2)/35))/(LN(2)/35)*HC86*HD86*VLOOKUP('Données projet'!$B$18,Paramètres!$A$1:$I$89,3,0)*0.475*44/12</f>
        <v>0</v>
      </c>
      <c r="HH86" s="23">
        <f>EXP(-LN(2)/25)*HH85+(1-EXP(-LN(2)/25))/(LN(2)/25)*Calculateur!HC86*Calculateur!HE86*VLOOKUP('Données projet'!$B$18,Paramètres!$A$1:$I$89,3,0)*0.475*44/12</f>
        <v>0</v>
      </c>
      <c r="HI86" s="23">
        <f>EXP(-LN(2)/2)*HI85+(1-EXP(-LN(2)/2))/(LN(2)/2)*HC86*HF86*VLOOKUP('Données projet'!$B$18,Paramètres!$A$1:$I$89,3,0)*0.475*44/12</f>
        <v>0</v>
      </c>
      <c r="HJ86" s="24">
        <f t="shared" si="84"/>
        <v>0</v>
      </c>
    </row>
    <row r="87" spans="1:218" s="5" customFormat="1" x14ac:dyDescent="0.3">
      <c r="A87" s="11">
        <f t="shared" si="85"/>
        <v>84</v>
      </c>
      <c r="B87" s="76">
        <f>'Scénario référence'!$B$16*5+'Scénario référence'!$B$17*0+'Scénario référence'!$B$18*5</f>
        <v>3.9405000000000001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14.448500000000001</v>
      </c>
      <c r="H87" s="69">
        <f t="shared" si="56"/>
        <v>161.30656666666667</v>
      </c>
      <c r="I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63.11423755472503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3.6835164835164806</v>
      </c>
      <c r="N87" s="14">
        <f>IF('Données projet'!$A$36&gt;35,N86+M87-V86,IF(A87&lt;'Données projet'!$A$36,$K$205^A87,IF(A87='Données projet'!$A$36,'Données projet'!$B$36,N86+M87-V86)))</f>
        <v>148.25164835164833</v>
      </c>
      <c r="O87" s="14">
        <f>N87*VLOOKUP('Données projet'!$B$9,Paramètres!$A$1:$I$89,3,0)*VLOOKUP('Données projet'!$B$9,Paramètres!$A$1:$I$89,5,0)</f>
        <v>86.727214285714282</v>
      </c>
      <c r="P87" s="14">
        <f t="shared" si="87"/>
        <v>23.774214325255532</v>
      </c>
      <c r="Q87" s="22">
        <f t="shared" si="54"/>
        <v>192.45665483077241</v>
      </c>
      <c r="R87" s="62">
        <f t="shared" si="55"/>
        <v>460.54219253143083</v>
      </c>
      <c r="S87" s="62">
        <f ca="1">AVERAGE(OFFSET($R$3,0,0,'Données projet'!$E$9+1,1))-AVERAGE(OFFSET($H$3,0,0,'Données projet'!$E$9+1,1))</f>
        <v>210.54472399593521</v>
      </c>
      <c r="T87" s="62">
        <f t="shared" si="88"/>
        <v>181.14158435194193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63.11423755472503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1.7799999999999954</v>
      </c>
      <c r="AI87" s="14">
        <f>IF('Données projet'!$A$62&gt;35,AI86+AH87-AQ86,IF(A87&lt;'Données projet'!$A$62,$AF$205^A87,IF(A87='Données projet'!$A$62,'Données projet'!$B$62,AI86+AH87-AQ86)))</f>
        <v>295.41999999999967</v>
      </c>
      <c r="AJ87" s="14">
        <f>AI87*VLOOKUP('Données projet'!$B$10,Paramètres!$A$1:$I$89,3,0)*VLOOKUP('Données projet'!$B$10,Paramètres!$A$1:$I$89,5,0)</f>
        <v>153.61839999999984</v>
      </c>
      <c r="AK87" s="14">
        <f t="shared" si="89"/>
        <v>39.399735786690194</v>
      </c>
      <c r="AL87" s="22">
        <f t="shared" si="58"/>
        <v>336.17325316181848</v>
      </c>
      <c r="AM87" s="62">
        <f t="shared" si="59"/>
        <v>604.25879086247687</v>
      </c>
      <c r="AN87" s="62">
        <f ca="1">AVERAGE(OFFSET($AM$3,0,0,'Données projet'!$E$10+1,1))-AVERAGE(OFFSET($H$3,0,0,'Données projet'!$E$10+1,1))</f>
        <v>289.05608923588198</v>
      </c>
      <c r="AO87" s="62">
        <f t="shared" si="90"/>
        <v>220.06639020312738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63.11423755472503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1.5429166666666674</v>
      </c>
      <c r="BD87" s="13">
        <f>IF('Données projet'!$A$88&gt;35,BD86+BC87-BL86,IF(A87&lt;'Données projet'!$A$88,$BA$205^A87,IF(A87='Données projet'!$A$88,'Données projet'!$B$88,BD86+BC87-BL86)))</f>
        <v>97.150833333333281</v>
      </c>
      <c r="BE87" s="14">
        <f>BD87*VLOOKUP('Données projet'!$B$11,Paramètres!$A$1:$I$89,3,0)*VLOOKUP('Données projet'!$B$11,Paramètres!$A$1:$I$89,5,0)</f>
        <v>111.91775999999994</v>
      </c>
      <c r="BF87" s="14">
        <f t="shared" si="91"/>
        <v>29.782368266438901</v>
      </c>
      <c r="BG87" s="22">
        <f t="shared" si="61"/>
        <v>246.79439006404766</v>
      </c>
      <c r="BH87" s="62">
        <f t="shared" si="62"/>
        <v>514.87992776470605</v>
      </c>
      <c r="BI87" s="62">
        <f ca="1">AVERAGE(OFFSET($BH$3,0,0,'Données projet'!$E$11+1,1))-AVERAGE(OFFSET($H$3,0,0,'Données projet'!$E$11+1,1))</f>
        <v>299.54950406029354</v>
      </c>
      <c r="BJ87" s="62">
        <f t="shared" si="92"/>
        <v>208.26364698165739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63.11423755472503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3.2051282051282044</v>
      </c>
      <c r="BY87" s="13">
        <f>IF('Données projet'!$A$114&gt;35,BY86+BX87-CG86,IF(A87&lt;'Données projet'!$A$114,$BV$205^A87,IF(A87='Données projet'!$A$114,'Données projet'!$B$114,BY86+BX87-CG86)))</f>
        <v>204.48717948717936</v>
      </c>
      <c r="BZ87" s="14">
        <f>BY87*VLOOKUP('Données projet'!$B$12,Paramètres!$A$1:$I$89,3,0)*VLOOKUP('Données projet'!$B$12,Paramètres!$A$1:$I$89,5,0)</f>
        <v>220.10999999999987</v>
      </c>
      <c r="CA87" s="14">
        <f t="shared" si="93"/>
        <v>54.138792981515223</v>
      </c>
      <c r="CB87" s="22">
        <f t="shared" si="64"/>
        <v>477.64998110947209</v>
      </c>
      <c r="CC87" s="62">
        <f t="shared" si="65"/>
        <v>745.73551881013054</v>
      </c>
      <c r="CD87" s="62">
        <f ca="1">AVERAGE(OFFSET($CC$3,0,0,'Données projet'!$E$12+1,1))-AVERAGE(OFFSET($H$3,0,0,'Données projet'!$E$12+1,1))</f>
        <v>441.30518831297212</v>
      </c>
      <c r="CE87" s="62">
        <f t="shared" si="94"/>
        <v>270.42872405271851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63.11423755472503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-1.1368683772161603E-13</v>
      </c>
      <c r="CU87" s="18">
        <f>CT87*VLOOKUP('Données projet'!$B$13,Paramètres!$A$1:$I$89,3,0)*VLOOKUP('Données projet'!$B$13,Paramètres!$A$1:$I$89,5,0)</f>
        <v>-9.9316821433603781E-14</v>
      </c>
      <c r="CV87" s="14" t="e">
        <f t="shared" si="95"/>
        <v>#NUM!</v>
      </c>
      <c r="CW87" s="22" t="e">
        <f t="shared" si="67"/>
        <v>#NUM!</v>
      </c>
      <c r="CX87" s="62" t="e">
        <f t="shared" si="68"/>
        <v>#NUM!</v>
      </c>
      <c r="CY87" s="62">
        <f ca="1">AVERAGE(OFFSET($CX$3,0,0,'Données projet'!$E$13+1,1))-AVERAGE(OFFSET($H$3,0,0,'Données projet'!$E$13+1,1))</f>
        <v>310.81258463659196</v>
      </c>
      <c r="CZ87" s="62">
        <f t="shared" si="96"/>
        <v>287.31099756692083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63.11423755472503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3.2051282051282044</v>
      </c>
      <c r="DO87" s="13">
        <f>IF('Données projet'!$A$166&gt;35,DO86+DN87-DW86,IF(A87&lt;'Données projet'!$A$166,$DL$205^A87,IF(A87='Données projet'!$A$166,'Données projet'!$B$166,DO86+DN87-DW86)))</f>
        <v>204.48717948717936</v>
      </c>
      <c r="DP87" s="18">
        <f>DO87*VLOOKUP('Données projet'!$B$14,Paramètres!$A$1:$I$89,3,0)*VLOOKUP('Données projet'!$B$14,Paramètres!$A$1:$I$89,5,0)</f>
        <v>213.7299999999999</v>
      </c>
      <c r="DQ87" s="14">
        <f t="shared" si="97"/>
        <v>52.749847458788246</v>
      </c>
      <c r="DR87" s="22">
        <f t="shared" si="70"/>
        <v>464.11906765738928</v>
      </c>
      <c r="DS87" s="62">
        <f t="shared" si="71"/>
        <v>732.20460535804773</v>
      </c>
      <c r="DT87" s="62">
        <f ca="1">AVERAGE(OFFSET($DS$3,0,0,'Données projet'!$E$14+1,1))-AVERAGE(OFFSET($H$3,0,0,'Données projet'!$E$14+1,1))</f>
        <v>431.19274104373625</v>
      </c>
      <c r="DU87" s="62">
        <f t="shared" si="98"/>
        <v>264.67919175178133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63.11423755472503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9.0717948717948698</v>
      </c>
      <c r="EJ87" s="13">
        <f>IF('Données projet'!$A$192&gt;35,EJ86+EI87-ER86,IF(A87&lt;'Données projet'!$A$192,$EG$205^A87,IF(A87='Données projet'!$A$192,'Données projet'!$B$192,EJ86+EI87-ER86)))</f>
        <v>355.92307692307645</v>
      </c>
      <c r="EK87" s="18">
        <f>EJ87*VLOOKUP('Données projet'!$B$15,Paramètres!$A$1:$I$89,3,0)*VLOOKUP('Données projet'!$B$15,Paramètres!$A$1:$I$89,5,0)</f>
        <v>166.57199999999978</v>
      </c>
      <c r="EL87" s="14">
        <f t="shared" si="99"/>
        <v>42.321357755693079</v>
      </c>
      <c r="EM87" s="22">
        <f t="shared" si="73"/>
        <v>363.82259809116505</v>
      </c>
      <c r="EN87" s="62">
        <f t="shared" si="74"/>
        <v>631.9081357918235</v>
      </c>
      <c r="EO87" s="62">
        <f ca="1">AVERAGE(OFFSET($EN$3,0,0,'Données projet'!$E$15+1,1))-AVERAGE(OFFSET($H$3,0,0,'Données projet'!$E$15+1,1))</f>
        <v>291.68530745507815</v>
      </c>
      <c r="EP87" s="62">
        <f t="shared" si="100"/>
        <v>175.95121106728979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0</v>
      </c>
      <c r="EZ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63.11423755472503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3</v>
      </c>
      <c r="FE87" s="13">
        <f>IF('Données projet'!$A$218&gt;35,FE86+FD87-FM86,IF(A87&lt;'Données projet'!$A$218,$FB$205^A87,IF(A87='Données projet'!$A$218,'Données projet'!$B$218,FE86+FD87-FM86)))</f>
        <v>189.99999999999983</v>
      </c>
      <c r="FF87" s="18">
        <f>FE87*VLOOKUP('Données projet'!$B$16,Paramètres!$A$1:$I$89,3,0)*VLOOKUP('Données projet'!$B$16,Paramètres!$A$1:$I$89,5,0)</f>
        <v>124.48799999999989</v>
      </c>
      <c r="FG87" s="14">
        <f t="shared" si="101"/>
        <v>32.719504245667238</v>
      </c>
      <c r="FH87" s="22">
        <f t="shared" si="76"/>
        <v>273.80306989453686</v>
      </c>
      <c r="FI87" s="62">
        <f t="shared" si="77"/>
        <v>541.88860759519525</v>
      </c>
      <c r="FJ87" s="62">
        <f ca="1">AVERAGE(OFFSET($FI$3,0,0,'Données projet'!$E$16+1,1))-AVERAGE(OFFSET($H$3,0,0,'Données projet'!$E$16+1,1))</f>
        <v>248.75689726928428</v>
      </c>
      <c r="FK87" s="62">
        <f t="shared" si="102"/>
        <v>232.02291680388336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projet'!$B$16,Paramètres!$A$1:$I$89,3,0)*0.475*44/12</f>
        <v>0</v>
      </c>
      <c r="FR87" s="23">
        <f>EXP(-LN(2)/25)*FR86+(1-EXP(-LN(2)/25))/(LN(2)/25)*Calculateur!FM87*Calculateur!FO87*VLOOKUP('Données projet'!$B$16,Paramètres!$A$1:$I$89,3,0)*0.475*44/12</f>
        <v>0</v>
      </c>
      <c r="FS87" s="23">
        <f>EXP(-LN(2)/2)*FS86+(1-EXP(-LN(2)/2))/(LN(2)/2)*FM87*FP87*VLOOKUP('Données projet'!$B$16,Paramètres!$A$1:$I$89,3,0)*0.475*44/12</f>
        <v>0</v>
      </c>
      <c r="FT87" s="24">
        <f t="shared" si="78"/>
        <v>0</v>
      </c>
      <c r="FU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63.11423755472503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9.8461538461538467</v>
      </c>
      <c r="FZ87" s="13">
        <f>IF('Données projet'!$A$244&gt;35,FZ86+FY87-GH86,IF(A87&lt;'Données projet'!$A$244,$FW$205^A87,IF(A87='Données projet'!$A$244,'Données projet'!$B$244,FZ86+FY87-GH86)))</f>
        <v>325.07692307692344</v>
      </c>
      <c r="GA87" s="18">
        <f>FZ87*VLOOKUP('Données projet'!$B$17,Paramètres!$A$1:$I$89,3,0)*VLOOKUP('Données projet'!$B$17,Paramètres!$A$1:$I$89,5,0)</f>
        <v>194.39600000000024</v>
      </c>
      <c r="GB87" s="14">
        <f t="shared" si="103"/>
        <v>48.510548451355611</v>
      </c>
      <c r="GC87" s="22">
        <f t="shared" si="79"/>
        <v>423.06223855277807</v>
      </c>
      <c r="GD87" s="62">
        <f t="shared" si="80"/>
        <v>691.14777625343652</v>
      </c>
      <c r="GE87" s="62">
        <f ca="1">AVERAGE(OFFSET($GD$3,0,0,'Données projet'!$E$17+1,1))-AVERAGE(OFFSET($H$3,0,0,'Données projet'!$E$17+1,1))</f>
        <v>315.909549580511</v>
      </c>
      <c r="GF87" s="62">
        <f t="shared" si="104"/>
        <v>208.56856525402051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projet'!$B$17,Paramètres!$A$1:$I$89,3,0)*0.475*44/12</f>
        <v>0</v>
      </c>
      <c r="GM87" s="23">
        <f>EXP(-LN(2)/25)*GM86+(1-EXP(-LN(2)/25))/(LN(2)/25)*Calculateur!GH87*Calculateur!GJ87*VLOOKUP('Données projet'!$B$17,Paramètres!$A$1:$I$89,3,0)*0.475*44/12</f>
        <v>0</v>
      </c>
      <c r="GN87" s="23">
        <f>EXP(-LN(2)/2)*GN86+(1-EXP(-LN(2)/2))/(LN(2)/2)*GH87*GK87*VLOOKUP('Données projet'!$B$17,Paramètres!$A$1:$I$89,3,0)*0.475*44/12</f>
        <v>0</v>
      </c>
      <c r="GO87" s="23">
        <f t="shared" si="81"/>
        <v>0</v>
      </c>
      <c r="GP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63.11423755472503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2.9487179487179445</v>
      </c>
      <c r="GU87" s="13">
        <f>IF('Données projet'!$A$270&gt;35,GU86+GT87-HC86,IF(A87&lt;'Données projet'!$A$270,$GR$205^A87,IF(A87='Données projet'!$A$270,'Données projet'!$B$270,GU86+GT87-HC86)))</f>
        <v>186.15384615384627</v>
      </c>
      <c r="GV87" s="18">
        <f>GU87*VLOOKUP('Données projet'!$B$18,Paramètres!$A$1:$I$89,3,0)*VLOOKUP('Données projet'!$B$18,Paramètres!$A$1:$I$89,5,0)</f>
        <v>124.87200000000009</v>
      </c>
      <c r="GW87" s="14">
        <f t="shared" si="105"/>
        <v>32.808667984674251</v>
      </c>
      <c r="GX87" s="22">
        <f t="shared" si="82"/>
        <v>274.62716340664116</v>
      </c>
      <c r="GY87" s="62">
        <f t="shared" si="83"/>
        <v>542.71270110729961</v>
      </c>
      <c r="GZ87" s="62">
        <f ca="1">AVERAGE(OFFSET($GY$3,0,0,'Données projet'!$E$18+1,1))-AVERAGE(OFFSET($H$3,0,0,'Données projet'!$E$18+1,1))</f>
        <v>254.35742752782755</v>
      </c>
      <c r="HA87" s="62">
        <f t="shared" si="106"/>
        <v>171.79611712137395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>
        <f>EXP(-LN(2)/35)*HG86+(1-EXP(-LN(2)/35))/(LN(2)/35)*HC87*HD87*VLOOKUP('Données projet'!$B$18,Paramètres!$A$1:$I$89,3,0)*0.475*44/12</f>
        <v>0</v>
      </c>
      <c r="HH87" s="23">
        <f>EXP(-LN(2)/25)*HH86+(1-EXP(-LN(2)/25))/(LN(2)/25)*Calculateur!HC87*Calculateur!HE87*VLOOKUP('Données projet'!$B$18,Paramètres!$A$1:$I$89,3,0)*0.475*44/12</f>
        <v>0</v>
      </c>
      <c r="HI87" s="23">
        <f>EXP(-LN(2)/2)*HI86+(1-EXP(-LN(2)/2))/(LN(2)/2)*HC87*HF87*VLOOKUP('Données projet'!$B$18,Paramètres!$A$1:$I$89,3,0)*0.475*44/12</f>
        <v>0</v>
      </c>
      <c r="HJ87" s="24">
        <f t="shared" si="84"/>
        <v>0</v>
      </c>
    </row>
    <row r="88" spans="1:218" s="5" customFormat="1" x14ac:dyDescent="0.3">
      <c r="A88" s="11">
        <f t="shared" si="85"/>
        <v>85</v>
      </c>
      <c r="B88" s="76">
        <f>'Scénario référence'!$B$16*5+'Scénario référence'!$B$17*0+'Scénario référence'!$B$18*5</f>
        <v>3.9405000000000001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14.448500000000001</v>
      </c>
      <c r="H88" s="69">
        <f t="shared" si="56"/>
        <v>161.30656666666667</v>
      </c>
      <c r="I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63.233690138891951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3.6835164835164806</v>
      </c>
      <c r="N88" s="14">
        <f>IF('Données projet'!$A$36&gt;35,N87+M88-V87,IF(A88&lt;'Données projet'!$A$36,$K$205^A88,IF(A88='Données projet'!$A$36,'Données projet'!$B$36,N87+M88-V87)))</f>
        <v>151.93516483516481</v>
      </c>
      <c r="O88" s="14">
        <f>N88*VLOOKUP('Données projet'!$B$9,Paramètres!$A$1:$I$89,3,0)*VLOOKUP('Données projet'!$B$9,Paramètres!$A$1:$I$89,5,0)</f>
        <v>88.882071428571422</v>
      </c>
      <c r="P88" s="14">
        <f t="shared" si="87"/>
        <v>24.295411721427023</v>
      </c>
      <c r="Q88" s="22">
        <f t="shared" si="54"/>
        <v>197.11744981958063</v>
      </c>
      <c r="R88" s="62">
        <f t="shared" si="55"/>
        <v>465.64098032885113</v>
      </c>
      <c r="S88" s="62">
        <f ca="1">AVERAGE(OFFSET($R$3,0,0,'Données projet'!$E$9+1,1))-AVERAGE(OFFSET($H$3,0,0,'Données projet'!$E$9+1,1))</f>
        <v>210.54472399593521</v>
      </c>
      <c r="T88" s="62">
        <f t="shared" si="88"/>
        <v>181.14158435194193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63.233690138891951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297.2</v>
      </c>
      <c r="AG88" s="13">
        <f>VLOOKUP(A88,'Données projet'!$A$61:$I$81,9,0)</f>
        <v>1.7799999999999954</v>
      </c>
      <c r="AH88" s="13">
        <f t="array" ref="AH88">INDEX(AG:AG,MIN(IF(ISNUMBER(AG88:AG284),ROW(AG88:AG284),"")))</f>
        <v>1.7799999999999954</v>
      </c>
      <c r="AI88" s="14">
        <f>IF('Données projet'!$A$62&gt;35,AI87+AH88-AQ87,IF(A88&lt;'Données projet'!$A$62,$AF$205^A88,IF(A88='Données projet'!$A$62,'Données projet'!$B$62,AI87+AH88-AQ87)))</f>
        <v>297.19999999999965</v>
      </c>
      <c r="AJ88" s="14">
        <f>AI88*VLOOKUP('Données projet'!$B$10,Paramètres!$A$1:$I$89,3,0)*VLOOKUP('Données projet'!$B$10,Paramètres!$A$1:$I$89,5,0)</f>
        <v>154.54399999999984</v>
      </c>
      <c r="AK88" s="14">
        <f t="shared" si="89"/>
        <v>39.609425508420586</v>
      </c>
      <c r="AL88" s="22">
        <f t="shared" si="58"/>
        <v>338.15054942716552</v>
      </c>
      <c r="AM88" s="62">
        <f t="shared" si="59"/>
        <v>606.67407993643599</v>
      </c>
      <c r="AN88" s="62">
        <f ca="1">AVERAGE(OFFSET($AM$3,0,0,'Données projet'!$E$10+1,1))-AVERAGE(OFFSET($H$3,0,0,'Données projet'!$E$10+1,1))</f>
        <v>289.05608923588198</v>
      </c>
      <c r="AO88" s="62">
        <f t="shared" si="90"/>
        <v>220.06639020312738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63.233690138891951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1.5429166666666674</v>
      </c>
      <c r="BD88" s="13">
        <f>IF('Données projet'!$A$88&gt;35,BD87+BC88-BL87,IF(A88&lt;'Données projet'!$A$88,$BA$205^A88,IF(A88='Données projet'!$A$88,'Données projet'!$B$88,BD87+BC88-BL87)))</f>
        <v>98.693749999999952</v>
      </c>
      <c r="BE88" s="14">
        <f>BD88*VLOOKUP('Données projet'!$B$11,Paramètres!$A$1:$I$89,3,0)*VLOOKUP('Données projet'!$B$11,Paramètres!$A$1:$I$89,5,0)</f>
        <v>113.69519999999994</v>
      </c>
      <c r="BF88" s="14">
        <f t="shared" si="91"/>
        <v>30.199921279741705</v>
      </c>
      <c r="BG88" s="22">
        <f t="shared" si="61"/>
        <v>250.61733622888337</v>
      </c>
      <c r="BH88" s="62">
        <f t="shared" si="62"/>
        <v>519.14086673815382</v>
      </c>
      <c r="BI88" s="62">
        <f ca="1">AVERAGE(OFFSET($BH$3,0,0,'Données projet'!$E$11+1,1))-AVERAGE(OFFSET($H$3,0,0,'Données projet'!$E$11+1,1))</f>
        <v>299.54950406029354</v>
      </c>
      <c r="BJ88" s="62">
        <f t="shared" si="92"/>
        <v>208.26364698165739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63.233690138891951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207.69230769230768</v>
      </c>
      <c r="BW88" s="13">
        <f>VLOOKUP(A88,'Données projet'!$A$113:$I$133,9,0)</f>
        <v>3.2051282051282044</v>
      </c>
      <c r="BX88" s="13">
        <f t="array" ref="BX88">INDEX(BW:BW,MIN(IF(ISNUMBER(BW88:BW284),ROW(BW88:BW284),"")))</f>
        <v>3.2051282051282044</v>
      </c>
      <c r="BY88" s="13">
        <f>IF('Données projet'!$A$114&gt;35,BY87+BX88-CG87,IF(A88&lt;'Données projet'!$A$114,$BV$205^A88,IF(A88='Données projet'!$A$114,'Données projet'!$B$114,BY87+BX88-CG87)))</f>
        <v>207.69230769230757</v>
      </c>
      <c r="BZ88" s="14">
        <f>BY88*VLOOKUP('Données projet'!$B$12,Paramètres!$A$1:$I$89,3,0)*VLOOKUP('Données projet'!$B$12,Paramètres!$A$1:$I$89,5,0)</f>
        <v>223.55999999999986</v>
      </c>
      <c r="CA88" s="14">
        <f t="shared" si="93"/>
        <v>54.88790978004134</v>
      </c>
      <c r="CB88" s="22">
        <f t="shared" si="64"/>
        <v>484.96344286690504</v>
      </c>
      <c r="CC88" s="62">
        <f t="shared" si="65"/>
        <v>753.48697337617546</v>
      </c>
      <c r="CD88" s="62">
        <f ca="1">AVERAGE(OFFSET($CC$3,0,0,'Données projet'!$E$12+1,1))-AVERAGE(OFFSET($H$3,0,0,'Données projet'!$E$12+1,1))</f>
        <v>441.30518831297212</v>
      </c>
      <c r="CE88" s="62">
        <f t="shared" si="94"/>
        <v>270.42872405271851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63.233690138891951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-1.1368683772161603E-13</v>
      </c>
      <c r="CU88" s="18">
        <f>CT88*VLOOKUP('Données projet'!$B$13,Paramètres!$A$1:$I$89,3,0)*VLOOKUP('Données projet'!$B$13,Paramètres!$A$1:$I$89,5,0)</f>
        <v>-9.9316821433603781E-14</v>
      </c>
      <c r="CV88" s="14" t="e">
        <f t="shared" si="95"/>
        <v>#NUM!</v>
      </c>
      <c r="CW88" s="22" t="e">
        <f t="shared" si="67"/>
        <v>#NUM!</v>
      </c>
      <c r="CX88" s="62" t="e">
        <f t="shared" si="68"/>
        <v>#NUM!</v>
      </c>
      <c r="CY88" s="62">
        <f ca="1">AVERAGE(OFFSET($CX$3,0,0,'Données projet'!$E$13+1,1))-AVERAGE(OFFSET($H$3,0,0,'Données projet'!$E$13+1,1))</f>
        <v>310.81258463659196</v>
      </c>
      <c r="CZ88" s="62">
        <f t="shared" si="96"/>
        <v>287.31099756692083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63.233690138891951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>
        <f>VLOOKUP(A88,'Données projet'!$A$165:$I$185,2,0)</f>
        <v>207.69230769230768</v>
      </c>
      <c r="DM88" s="13">
        <f>VLOOKUP(A88,'Données projet'!$A$165:$I$185,9,0)</f>
        <v>3.2051282051282044</v>
      </c>
      <c r="DN88" s="13">
        <f t="array" ref="DN88">INDEX(DM:DM,MIN(IF(ISNUMBER(DM88:DM284),ROW(DM88:DM284),"")))</f>
        <v>3.2051282051282044</v>
      </c>
      <c r="DO88" s="13">
        <f>IF('Données projet'!$A$166&gt;35,DO87+DN88-DW87,IF(A88&lt;'Données projet'!$A$166,$DL$205^A88,IF(A88='Données projet'!$A$166,'Données projet'!$B$166,DO87+DN88-DW87)))</f>
        <v>207.69230769230757</v>
      </c>
      <c r="DP88" s="18">
        <f>DO88*VLOOKUP('Données projet'!$B$14,Paramètres!$A$1:$I$89,3,0)*VLOOKUP('Données projet'!$B$14,Paramètres!$A$1:$I$89,5,0)</f>
        <v>217.0799999999999</v>
      </c>
      <c r="DQ88" s="14">
        <f t="shared" si="97"/>
        <v>53.479745461216197</v>
      </c>
      <c r="DR88" s="22">
        <f t="shared" si="70"/>
        <v>471.22489001161802</v>
      </c>
      <c r="DS88" s="62">
        <f t="shared" si="71"/>
        <v>739.74842052088843</v>
      </c>
      <c r="DT88" s="62">
        <f ca="1">AVERAGE(OFFSET($DS$3,0,0,'Données projet'!$E$14+1,1))-AVERAGE(OFFSET($H$3,0,0,'Données projet'!$E$14+1,1))</f>
        <v>431.19274104373625</v>
      </c>
      <c r="DU88" s="62">
        <f t="shared" si="98"/>
        <v>264.67919175178133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63.233690138891951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9.0717948717948698</v>
      </c>
      <c r="EJ88" s="13">
        <f>IF('Données projet'!$A$192&gt;35,EJ87+EI88-ER87,IF(A88&lt;'Données projet'!$A$192,$EG$205^A88,IF(A88='Données projet'!$A$192,'Données projet'!$B$192,EJ87+EI88-ER87)))</f>
        <v>364.9948717948713</v>
      </c>
      <c r="EK88" s="18">
        <f>EJ88*VLOOKUP('Données projet'!$B$15,Paramètres!$A$1:$I$89,3,0)*VLOOKUP('Données projet'!$B$15,Paramètres!$A$1:$I$89,5,0)</f>
        <v>170.81759999999977</v>
      </c>
      <c r="EL88" s="14">
        <f t="shared" si="99"/>
        <v>43.273087623453243</v>
      </c>
      <c r="EM88" s="22">
        <f t="shared" si="73"/>
        <v>372.87461427751396</v>
      </c>
      <c r="EN88" s="62">
        <f t="shared" si="74"/>
        <v>641.39814478678443</v>
      </c>
      <c r="EO88" s="62">
        <f ca="1">AVERAGE(OFFSET($EN$3,0,0,'Données projet'!$E$15+1,1))-AVERAGE(OFFSET($H$3,0,0,'Données projet'!$E$15+1,1))</f>
        <v>291.68530745507815</v>
      </c>
      <c r="EP88" s="62">
        <f t="shared" si="100"/>
        <v>175.95121106728979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0</v>
      </c>
      <c r="EZ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63.233690138891951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>
        <f>VLOOKUP(A88,'Données projet'!$A$217:$I$237,2,0)</f>
        <v>193</v>
      </c>
      <c r="FC88" s="13">
        <f>VLOOKUP(A88,'Données projet'!$A$217:$I$237,9,0)</f>
        <v>3</v>
      </c>
      <c r="FD88" s="13">
        <f t="array" ref="FD88">INDEX(FC:FC,MIN(IF(ISNUMBER(FC88:FC284),ROW(FC88:FC284),"")))</f>
        <v>3</v>
      </c>
      <c r="FE88" s="13">
        <f>IF('Données projet'!$A$218&gt;35,FE87+FD88-FM87,IF(A88&lt;'Données projet'!$A$218,$FB$205^A88,IF(A88='Données projet'!$A$218,'Données projet'!$B$218,FE87+FD88-FM87)))</f>
        <v>192.99999999999983</v>
      </c>
      <c r="FF88" s="18">
        <f>FE88*VLOOKUP('Données projet'!$B$16,Paramètres!$A$1:$I$89,3,0)*VLOOKUP('Données projet'!$B$16,Paramètres!$A$1:$I$89,5,0)</f>
        <v>126.45359999999989</v>
      </c>
      <c r="FG88" s="14">
        <f t="shared" si="101"/>
        <v>33.175575947575631</v>
      </c>
      <c r="FH88" s="22">
        <f t="shared" si="76"/>
        <v>278.02081477536069</v>
      </c>
      <c r="FI88" s="62">
        <f t="shared" si="77"/>
        <v>546.54434528463116</v>
      </c>
      <c r="FJ88" s="62">
        <f ca="1">AVERAGE(OFFSET($FI$3,0,0,'Données projet'!$E$16+1,1))-AVERAGE(OFFSET($H$3,0,0,'Données projet'!$E$16+1,1))</f>
        <v>248.75689726928428</v>
      </c>
      <c r="FK88" s="62">
        <f t="shared" si="102"/>
        <v>232.02291680388336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projet'!$B$16,Paramètres!$A$1:$I$89,3,0)*0.475*44/12</f>
        <v>0</v>
      </c>
      <c r="FR88" s="23">
        <f>EXP(-LN(2)/25)*FR87+(1-EXP(-LN(2)/25))/(LN(2)/25)*Calculateur!FM88*Calculateur!FO88*VLOOKUP('Données projet'!$B$16,Paramètres!$A$1:$I$89,3,0)*0.475*44/12</f>
        <v>0</v>
      </c>
      <c r="FS88" s="23">
        <f>EXP(-LN(2)/2)*FS87+(1-EXP(-LN(2)/2))/(LN(2)/2)*FM88*FP88*VLOOKUP('Données projet'!$B$16,Paramètres!$A$1:$I$89,3,0)*0.475*44/12</f>
        <v>0</v>
      </c>
      <c r="FT88" s="24">
        <f t="shared" si="78"/>
        <v>0</v>
      </c>
      <c r="FU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63.233690138891951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9.8461538461538467</v>
      </c>
      <c r="FZ88" s="13">
        <f>IF('Données projet'!$A$244&gt;35,FZ87+FY88-GH87,IF(A88&lt;'Données projet'!$A$244,$FW$205^A88,IF(A88='Données projet'!$A$244,'Données projet'!$B$244,FZ87+FY88-GH87)))</f>
        <v>334.9230769230773</v>
      </c>
      <c r="GA88" s="18">
        <f>FZ88*VLOOKUP('Données projet'!$B$17,Paramètres!$A$1:$I$89,3,0)*VLOOKUP('Données projet'!$B$17,Paramètres!$A$1:$I$89,5,0)</f>
        <v>200.28400000000025</v>
      </c>
      <c r="GB88" s="14">
        <f t="shared" si="103"/>
        <v>49.806577174089412</v>
      </c>
      <c r="GC88" s="22">
        <f t="shared" si="79"/>
        <v>435.5744219115395</v>
      </c>
      <c r="GD88" s="62">
        <f t="shared" si="80"/>
        <v>704.09795242080997</v>
      </c>
      <c r="GE88" s="62">
        <f ca="1">AVERAGE(OFFSET($GD$3,0,0,'Données projet'!$E$17+1,1))-AVERAGE(OFFSET($H$3,0,0,'Données projet'!$E$17+1,1))</f>
        <v>315.909549580511</v>
      </c>
      <c r="GF88" s="62">
        <f t="shared" si="104"/>
        <v>208.56856525402051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projet'!$B$17,Paramètres!$A$1:$I$89,3,0)*0.475*44/12</f>
        <v>0</v>
      </c>
      <c r="GM88" s="23">
        <f>EXP(-LN(2)/25)*GM87+(1-EXP(-LN(2)/25))/(LN(2)/25)*Calculateur!GH88*Calculateur!GJ88*VLOOKUP('Données projet'!$B$17,Paramètres!$A$1:$I$89,3,0)*0.475*44/12</f>
        <v>0</v>
      </c>
      <c r="GN88" s="23">
        <f>EXP(-LN(2)/2)*GN87+(1-EXP(-LN(2)/2))/(LN(2)/2)*GH88*GK88*VLOOKUP('Données projet'!$B$17,Paramètres!$A$1:$I$89,3,0)*0.475*44/12</f>
        <v>0</v>
      </c>
      <c r="GO88" s="23">
        <f t="shared" si="81"/>
        <v>0</v>
      </c>
      <c r="GP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63.233690138891951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>
        <f>VLOOKUP(A88,'Données projet'!$A$269:$I$289,2,0)</f>
        <v>189.10256410256409</v>
      </c>
      <c r="GS88" s="13">
        <f>VLOOKUP(A88,'Données projet'!$A$269:$I$289,9,0)</f>
        <v>2.9487179487179445</v>
      </c>
      <c r="GT88" s="13">
        <f t="array" ref="GT88">INDEX(GS:GS,MIN(IF(ISNUMBER(GS88:GS284),ROW(GS88:GS284),"")))</f>
        <v>2.9487179487179445</v>
      </c>
      <c r="GU88" s="13">
        <f>IF('Données projet'!$A$270&gt;35,GU87+GT88-HC87,IF(A88&lt;'Données projet'!$A$270,$GR$205^A88,IF(A88='Données projet'!$A$270,'Données projet'!$B$270,GU87+GT88-HC87)))</f>
        <v>189.10256410256423</v>
      </c>
      <c r="GV88" s="18">
        <f>GU88*VLOOKUP('Données projet'!$B$18,Paramètres!$A$1:$I$89,3,0)*VLOOKUP('Données projet'!$B$18,Paramètres!$A$1:$I$89,5,0)</f>
        <v>126.85000000000008</v>
      </c>
      <c r="GW88" s="14">
        <f t="shared" si="105"/>
        <v>33.267450974182424</v>
      </c>
      <c r="GX88" s="22">
        <f t="shared" si="82"/>
        <v>278.87122711336787</v>
      </c>
      <c r="GY88" s="62">
        <f t="shared" si="83"/>
        <v>547.39475762263828</v>
      </c>
      <c r="GZ88" s="62">
        <f ca="1">AVERAGE(OFFSET($GY$3,0,0,'Données projet'!$E$18+1,1))-AVERAGE(OFFSET($H$3,0,0,'Données projet'!$E$18+1,1))</f>
        <v>254.35742752782755</v>
      </c>
      <c r="HA88" s="62">
        <f t="shared" si="106"/>
        <v>171.79611712137395</v>
      </c>
      <c r="HB88" s="16">
        <f>IF(ISNA(VLOOKUP(A88,'Données projet'!$A$269:$I$289,3,0)),0,VLOOKUP(A88,'Données projet'!$A$269:$I$289,3,0))</f>
        <v>7</v>
      </c>
      <c r="HC88" s="16">
        <f>IF(ISNA(VLOOKUP(A88,'Données projet'!$A$269:$I$289,4,0)),0,VLOOKUP(A88,'Données projet'!$A$269:$I$289,4,0))</f>
        <v>17.948717948717949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>
        <f>EXP(-LN(2)/35)*HG87+(1-EXP(-LN(2)/35))/(LN(2)/35)*HC88*HD88*VLOOKUP('Données projet'!$B$18,Paramètres!$A$1:$I$89,3,0)*0.475*44/12</f>
        <v>0</v>
      </c>
      <c r="HH88" s="23">
        <f>EXP(-LN(2)/25)*HH87+(1-EXP(-LN(2)/25))/(LN(2)/25)*Calculateur!HC88*Calculateur!HE88*VLOOKUP('Données projet'!$B$18,Paramètres!$A$1:$I$89,3,0)*0.475*44/12</f>
        <v>0</v>
      </c>
      <c r="HI88" s="23">
        <f>EXP(-LN(2)/2)*HI87+(1-EXP(-LN(2)/2))/(LN(2)/2)*HC88*HF88*VLOOKUP('Données projet'!$B$18,Paramètres!$A$1:$I$89,3,0)*0.475*44/12</f>
        <v>0</v>
      </c>
      <c r="HJ88" s="24">
        <f t="shared" si="84"/>
        <v>0</v>
      </c>
    </row>
    <row r="89" spans="1:218" s="5" customFormat="1" x14ac:dyDescent="0.3">
      <c r="A89" s="11">
        <f t="shared" si="85"/>
        <v>86</v>
      </c>
      <c r="B89" s="76">
        <f>'Scénario référence'!$B$16*5+'Scénario référence'!$B$17*0+'Scénario référence'!$B$18*5</f>
        <v>3.9405000000000001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14.448500000000001</v>
      </c>
      <c r="H89" s="69">
        <f t="shared" si="56"/>
        <v>161.30656666666667</v>
      </c>
      <c r="I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63.351070487779545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3.6835164835164806</v>
      </c>
      <c r="N89" s="14">
        <f>IF('Données projet'!$A$36&gt;35,N88+M89-V88,IF(A89&lt;'Données projet'!$A$36,$K$205^A89,IF(A89='Données projet'!$A$36,'Données projet'!$B$36,N88+M89-V88)))</f>
        <v>155.6186813186813</v>
      </c>
      <c r="O89" s="14">
        <f>N89*VLOOKUP('Données projet'!$B$9,Paramètres!$A$1:$I$89,3,0)*VLOOKUP('Données projet'!$B$9,Paramètres!$A$1:$I$89,5,0)</f>
        <v>91.036928571428561</v>
      </c>
      <c r="P89" s="14">
        <f t="shared" si="87"/>
        <v>24.815140218873672</v>
      </c>
      <c r="Q89" s="22">
        <f t="shared" si="54"/>
        <v>201.77568647644307</v>
      </c>
      <c r="R89" s="62">
        <f t="shared" si="55"/>
        <v>470.72961159830135</v>
      </c>
      <c r="S89" s="62">
        <f ca="1">AVERAGE(OFFSET($R$3,0,0,'Données projet'!$E$9+1,1))-AVERAGE(OFFSET($H$3,0,0,'Données projet'!$E$9+1,1))</f>
        <v>210.54472399593521</v>
      </c>
      <c r="T89" s="62">
        <f t="shared" si="88"/>
        <v>181.14158435194193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63.351070487779545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1.5399999999999978</v>
      </c>
      <c r="AI89" s="14">
        <f>IF('Données projet'!$A$62&gt;35,AI88+AH89-AQ88,IF(A89&lt;'Données projet'!$A$62,$AF$205^A89,IF(A89='Données projet'!$A$62,'Données projet'!$B$62,AI88+AH89-AQ88)))</f>
        <v>298.73999999999967</v>
      </c>
      <c r="AJ89" s="14">
        <f>AI89*VLOOKUP('Données projet'!$B$10,Paramètres!$A$1:$I$89,3,0)*VLOOKUP('Données projet'!$B$10,Paramètres!$A$1:$I$89,5,0)</f>
        <v>155.34479999999982</v>
      </c>
      <c r="AK89" s="14">
        <f t="shared" si="89"/>
        <v>39.790724515827861</v>
      </c>
      <c r="AL89" s="22">
        <f t="shared" si="58"/>
        <v>339.86103853173319</v>
      </c>
      <c r="AM89" s="62">
        <f t="shared" si="59"/>
        <v>608.81496365359146</v>
      </c>
      <c r="AN89" s="62">
        <f ca="1">AVERAGE(OFFSET($AM$3,0,0,'Données projet'!$E$10+1,1))-AVERAGE(OFFSET($H$3,0,0,'Données projet'!$E$10+1,1))</f>
        <v>289.05608923588198</v>
      </c>
      <c r="AO89" s="62">
        <f t="shared" si="90"/>
        <v>220.06639020312738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63.351070487779545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1.5429166666666674</v>
      </c>
      <c r="BD89" s="13">
        <f>IF('Données projet'!$A$88&gt;35,BD88+BC89-BL88,IF(A89&lt;'Données projet'!$A$88,$BA$205^A89,IF(A89='Données projet'!$A$88,'Données projet'!$B$88,BD88+BC89-BL88)))</f>
        <v>100.23666666666662</v>
      </c>
      <c r="BE89" s="14">
        <f>BD89*VLOOKUP('Données projet'!$B$11,Paramètres!$A$1:$I$89,3,0)*VLOOKUP('Données projet'!$B$11,Paramètres!$A$1:$I$89,5,0)</f>
        <v>115.47263999999994</v>
      </c>
      <c r="BF89" s="14">
        <f t="shared" si="91"/>
        <v>30.616715119547948</v>
      </c>
      <c r="BG89" s="22">
        <f t="shared" si="61"/>
        <v>254.43896016654585</v>
      </c>
      <c r="BH89" s="62">
        <f t="shared" si="62"/>
        <v>523.39288528840416</v>
      </c>
      <c r="BI89" s="62">
        <f ca="1">AVERAGE(OFFSET($BH$3,0,0,'Données projet'!$E$11+1,1))-AVERAGE(OFFSET($H$3,0,0,'Données projet'!$E$11+1,1))</f>
        <v>299.54950406029354</v>
      </c>
      <c r="BJ89" s="62">
        <f t="shared" si="92"/>
        <v>208.26364698165739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63.351070487779545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2.9487179487179502</v>
      </c>
      <c r="BY89" s="13">
        <f>IF('Données projet'!$A$114&gt;35,BY88+BX89-CG88,IF(A89&lt;'Données projet'!$A$114,$BV$205^A89,IF(A89='Données projet'!$A$114,'Données projet'!$B$114,BY88+BX89-CG88)))</f>
        <v>210.64102564102552</v>
      </c>
      <c r="BZ89" s="14">
        <f>BY89*VLOOKUP('Données projet'!$B$12,Paramètres!$A$1:$I$89,3,0)*VLOOKUP('Données projet'!$B$12,Paramètres!$A$1:$I$89,5,0)</f>
        <v>226.73399999999987</v>
      </c>
      <c r="CA89" s="14">
        <f t="shared" si="93"/>
        <v>55.575909244657275</v>
      </c>
      <c r="CB89" s="22">
        <f t="shared" si="64"/>
        <v>491.68975860111124</v>
      </c>
      <c r="CC89" s="62">
        <f t="shared" si="65"/>
        <v>760.64368372296951</v>
      </c>
      <c r="CD89" s="62">
        <f ca="1">AVERAGE(OFFSET($CC$3,0,0,'Données projet'!$E$12+1,1))-AVERAGE(OFFSET($H$3,0,0,'Données projet'!$E$12+1,1))</f>
        <v>441.30518831297212</v>
      </c>
      <c r="CE89" s="62">
        <f t="shared" si="94"/>
        <v>270.42872405271851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63.351070487779545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-1.1368683772161603E-13</v>
      </c>
      <c r="CU89" s="18">
        <f>CT89*VLOOKUP('Données projet'!$B$13,Paramètres!$A$1:$I$89,3,0)*VLOOKUP('Données projet'!$B$13,Paramètres!$A$1:$I$89,5,0)</f>
        <v>-9.9316821433603781E-14</v>
      </c>
      <c r="CV89" s="14" t="e">
        <f t="shared" si="95"/>
        <v>#NUM!</v>
      </c>
      <c r="CW89" s="22" t="e">
        <f t="shared" si="67"/>
        <v>#NUM!</v>
      </c>
      <c r="CX89" s="62" t="e">
        <f t="shared" si="68"/>
        <v>#NUM!</v>
      </c>
      <c r="CY89" s="62">
        <f ca="1">AVERAGE(OFFSET($CX$3,0,0,'Données projet'!$E$13+1,1))-AVERAGE(OFFSET($H$3,0,0,'Données projet'!$E$13+1,1))</f>
        <v>310.81258463659196</v>
      </c>
      <c r="CZ89" s="62">
        <f t="shared" si="96"/>
        <v>287.31099756692083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63.351070487779545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2.9487179487179502</v>
      </c>
      <c r="DO89" s="13">
        <f>IF('Données projet'!$A$166&gt;35,DO88+DN89-DW88,IF(A89&lt;'Données projet'!$A$166,$DL$205^A89,IF(A89='Données projet'!$A$166,'Données projet'!$B$166,DO88+DN89-DW88)))</f>
        <v>210.64102564102552</v>
      </c>
      <c r="DP89" s="18">
        <f>DO89*VLOOKUP('Données projet'!$B$14,Paramètres!$A$1:$I$89,3,0)*VLOOKUP('Données projet'!$B$14,Paramètres!$A$1:$I$89,5,0)</f>
        <v>220.16199999999989</v>
      </c>
      <c r="DQ89" s="14">
        <f t="shared" si="97"/>
        <v>54.150094111630509</v>
      </c>
      <c r="DR89" s="22">
        <f t="shared" si="70"/>
        <v>477.76023057775632</v>
      </c>
      <c r="DS89" s="62">
        <f t="shared" si="71"/>
        <v>746.71415569961459</v>
      </c>
      <c r="DT89" s="62">
        <f ca="1">AVERAGE(OFFSET($DS$3,0,0,'Données projet'!$E$14+1,1))-AVERAGE(OFFSET($H$3,0,0,'Données projet'!$E$14+1,1))</f>
        <v>431.19274104373625</v>
      </c>
      <c r="DU89" s="62">
        <f t="shared" si="98"/>
        <v>264.67919175178133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63.351070487779545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9.0717948717948698</v>
      </c>
      <c r="EJ89" s="13">
        <f>IF('Données projet'!$A$192&gt;35,EJ88+EI89-ER88,IF(A89&lt;'Données projet'!$A$192,$EG$205^A89,IF(A89='Données projet'!$A$192,'Données projet'!$B$192,EJ88+EI89-ER88)))</f>
        <v>374.06666666666615</v>
      </c>
      <c r="EK89" s="18">
        <f>EJ89*VLOOKUP('Données projet'!$B$15,Paramètres!$A$1:$I$89,3,0)*VLOOKUP('Données projet'!$B$15,Paramètres!$A$1:$I$89,5,0)</f>
        <v>175.06319999999977</v>
      </c>
      <c r="EL89" s="14">
        <f t="shared" si="99"/>
        <v>44.222067746824685</v>
      </c>
      <c r="EM89" s="22">
        <f t="shared" si="73"/>
        <v>381.92184132571924</v>
      </c>
      <c r="EN89" s="62">
        <f t="shared" si="74"/>
        <v>650.87576644757746</v>
      </c>
      <c r="EO89" s="62">
        <f ca="1">AVERAGE(OFFSET($EN$3,0,0,'Données projet'!$E$15+1,1))-AVERAGE(OFFSET($H$3,0,0,'Données projet'!$E$15+1,1))</f>
        <v>291.68530745507815</v>
      </c>
      <c r="EP89" s="62">
        <f t="shared" si="100"/>
        <v>175.95121106728979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0</v>
      </c>
      <c r="EZ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63.351070487779545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2.8</v>
      </c>
      <c r="FE89" s="13">
        <f>IF('Données projet'!$A$218&gt;35,FE88+FD89-FM88,IF(A89&lt;'Données projet'!$A$218,$FB$205^A89,IF(A89='Données projet'!$A$218,'Données projet'!$B$218,FE88+FD89-FM88)))</f>
        <v>195.79999999999984</v>
      </c>
      <c r="FF89" s="18">
        <f>FE89*VLOOKUP('Données projet'!$B$16,Paramètres!$A$1:$I$89,3,0)*VLOOKUP('Données projet'!$B$16,Paramètres!$A$1:$I$89,5,0)</f>
        <v>128.28815999999989</v>
      </c>
      <c r="FG89" s="14">
        <f t="shared" si="101"/>
        <v>33.600498728056053</v>
      </c>
      <c r="FH89" s="22">
        <f t="shared" si="76"/>
        <v>281.95608061803074</v>
      </c>
      <c r="FI89" s="62">
        <f t="shared" si="77"/>
        <v>550.91000573988902</v>
      </c>
      <c r="FJ89" s="62">
        <f ca="1">AVERAGE(OFFSET($FI$3,0,0,'Données projet'!$E$16+1,1))-AVERAGE(OFFSET($H$3,0,0,'Données projet'!$E$16+1,1))</f>
        <v>248.75689726928428</v>
      </c>
      <c r="FK89" s="62">
        <f t="shared" si="102"/>
        <v>232.02291680388336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projet'!$B$16,Paramètres!$A$1:$I$89,3,0)*0.475*44/12</f>
        <v>0</v>
      </c>
      <c r="FR89" s="23">
        <f>EXP(-LN(2)/25)*FR88+(1-EXP(-LN(2)/25))/(LN(2)/25)*Calculateur!FM89*Calculateur!FO89*VLOOKUP('Données projet'!$B$16,Paramètres!$A$1:$I$89,3,0)*0.475*44/12</f>
        <v>0</v>
      </c>
      <c r="FS89" s="23">
        <f>EXP(-LN(2)/2)*FS88+(1-EXP(-LN(2)/2))/(LN(2)/2)*FM89*FP89*VLOOKUP('Données projet'!$B$16,Paramètres!$A$1:$I$89,3,0)*0.475*44/12</f>
        <v>0</v>
      </c>
      <c r="FT89" s="24">
        <f t="shared" si="78"/>
        <v>0</v>
      </c>
      <c r="FU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63.351070487779545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9.8461538461538467</v>
      </c>
      <c r="FZ89" s="13">
        <f>IF('Données projet'!$A$244&gt;35,FZ88+FY89-GH88,IF(A89&lt;'Données projet'!$A$244,$FW$205^A89,IF(A89='Données projet'!$A$244,'Données projet'!$B$244,FZ88+FY89-GH88)))</f>
        <v>344.76923076923117</v>
      </c>
      <c r="GA89" s="18">
        <f>FZ89*VLOOKUP('Données projet'!$B$17,Paramètres!$A$1:$I$89,3,0)*VLOOKUP('Données projet'!$B$17,Paramètres!$A$1:$I$89,5,0)</f>
        <v>206.17200000000028</v>
      </c>
      <c r="GB89" s="14">
        <f t="shared" si="103"/>
        <v>51.098177848020335</v>
      </c>
      <c r="GC89" s="22">
        <f t="shared" si="79"/>
        <v>448.07889308530258</v>
      </c>
      <c r="GD89" s="62">
        <f t="shared" si="80"/>
        <v>717.03281820716086</v>
      </c>
      <c r="GE89" s="62">
        <f ca="1">AVERAGE(OFFSET($GD$3,0,0,'Données projet'!$E$17+1,1))-AVERAGE(OFFSET($H$3,0,0,'Données projet'!$E$17+1,1))</f>
        <v>315.909549580511</v>
      </c>
      <c r="GF89" s="62">
        <f t="shared" si="104"/>
        <v>208.56856525402051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projet'!$B$17,Paramètres!$A$1:$I$89,3,0)*0.475*44/12</f>
        <v>0</v>
      </c>
      <c r="GM89" s="23">
        <f>EXP(-LN(2)/25)*GM88+(1-EXP(-LN(2)/25))/(LN(2)/25)*Calculateur!GH89*Calculateur!GJ89*VLOOKUP('Données projet'!$B$17,Paramètres!$A$1:$I$89,3,0)*0.475*44/12</f>
        <v>0</v>
      </c>
      <c r="GN89" s="23">
        <f>EXP(-LN(2)/2)*GN88+(1-EXP(-LN(2)/2))/(LN(2)/2)*GH89*GK89*VLOOKUP('Données projet'!$B$17,Paramètres!$A$1:$I$89,3,0)*0.475*44/12</f>
        <v>0</v>
      </c>
      <c r="GO89" s="23">
        <f t="shared" si="81"/>
        <v>0</v>
      </c>
      <c r="GP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63.351070487779545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2.8205128205128234</v>
      </c>
      <c r="GU89" s="13">
        <f>IF('Données projet'!$A$270&gt;35,GU88+GT89-HC88,IF(A89&lt;'Données projet'!$A$270,$GR$205^A89,IF(A89='Données projet'!$A$270,'Données projet'!$B$270,GU88+GT89-HC88)))</f>
        <v>173.97435897435909</v>
      </c>
      <c r="GV89" s="18">
        <f>GU89*VLOOKUP('Données projet'!$B$18,Paramètres!$A$1:$I$89,3,0)*VLOOKUP('Données projet'!$B$18,Paramètres!$A$1:$I$89,5,0)</f>
        <v>116.70200000000008</v>
      </c>
      <c r="GW89" s="14">
        <f t="shared" si="105"/>
        <v>30.904551818316662</v>
      </c>
      <c r="GX89" s="22">
        <f t="shared" si="82"/>
        <v>257.0814110835683</v>
      </c>
      <c r="GY89" s="62">
        <f t="shared" si="83"/>
        <v>526.03533620542657</v>
      </c>
      <c r="GZ89" s="62">
        <f ca="1">AVERAGE(OFFSET($GY$3,0,0,'Données projet'!$E$18+1,1))-AVERAGE(OFFSET($H$3,0,0,'Données projet'!$E$18+1,1))</f>
        <v>254.35742752782755</v>
      </c>
      <c r="HA89" s="62">
        <f t="shared" si="106"/>
        <v>171.79611712137395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>
        <f>EXP(-LN(2)/35)*HG88+(1-EXP(-LN(2)/35))/(LN(2)/35)*HC89*HD89*VLOOKUP('Données projet'!$B$18,Paramètres!$A$1:$I$89,3,0)*0.475*44/12</f>
        <v>0</v>
      </c>
      <c r="HH89" s="23">
        <f>EXP(-LN(2)/25)*HH88+(1-EXP(-LN(2)/25))/(LN(2)/25)*Calculateur!HC89*Calculateur!HE89*VLOOKUP('Données projet'!$B$18,Paramètres!$A$1:$I$89,3,0)*0.475*44/12</f>
        <v>0</v>
      </c>
      <c r="HI89" s="23">
        <f>EXP(-LN(2)/2)*HI88+(1-EXP(-LN(2)/2))/(LN(2)/2)*HC89*HF89*VLOOKUP('Données projet'!$B$18,Paramètres!$A$1:$I$89,3,0)*0.475*44/12</f>
        <v>0</v>
      </c>
      <c r="HJ89" s="24">
        <f t="shared" si="84"/>
        <v>0</v>
      </c>
    </row>
    <row r="90" spans="1:218" s="5" customFormat="1" x14ac:dyDescent="0.3">
      <c r="A90" s="11">
        <f t="shared" si="85"/>
        <v>87</v>
      </c>
      <c r="B90" s="76">
        <f>'Scénario référence'!$B$16*5+'Scénario référence'!$B$17*0+'Scénario référence'!$B$18*5</f>
        <v>3.9405000000000001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14.448500000000001</v>
      </c>
      <c r="H90" s="69">
        <f t="shared" si="56"/>
        <v>161.30656666666667</v>
      </c>
      <c r="I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63.466414550037086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3.6835164835164806</v>
      </c>
      <c r="N90" s="14">
        <f>IF('Données projet'!$A$36&gt;35,N89+M90-V89,IF(A90&lt;'Données projet'!$A$36,$K$205^A90,IF(A90='Données projet'!$A$36,'Données projet'!$B$36,N89+M90-V89)))</f>
        <v>159.30219780219778</v>
      </c>
      <c r="O90" s="14">
        <f>N90*VLOOKUP('Données projet'!$B$9,Paramètres!$A$1:$I$89,3,0)*VLOOKUP('Données projet'!$B$9,Paramètres!$A$1:$I$89,5,0)</f>
        <v>93.191785714285714</v>
      </c>
      <c r="P90" s="14">
        <f t="shared" si="87"/>
        <v>25.333438587650654</v>
      </c>
      <c r="Q90" s="22">
        <f t="shared" si="54"/>
        <v>206.43143232587249</v>
      </c>
      <c r="R90" s="62">
        <f t="shared" si="55"/>
        <v>475.80828567600844</v>
      </c>
      <c r="S90" s="62">
        <f ca="1">AVERAGE(OFFSET($R$3,0,0,'Données projet'!$E$9+1,1))-AVERAGE(OFFSET($H$3,0,0,'Données projet'!$E$9+1,1))</f>
        <v>210.54472399593521</v>
      </c>
      <c r="T90" s="62">
        <f t="shared" si="88"/>
        <v>181.14158435194193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63.466414550037086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1.5399999999999978</v>
      </c>
      <c r="AI90" s="14">
        <f>IF('Données projet'!$A$62&gt;35,AI89+AH90-AQ89,IF(A90&lt;'Données projet'!$A$62,$AF$205^A90,IF(A90='Données projet'!$A$62,'Données projet'!$B$62,AI89+AH90-AQ89)))</f>
        <v>300.27999999999969</v>
      </c>
      <c r="AJ90" s="14">
        <f>AI90*VLOOKUP('Données projet'!$B$10,Paramètres!$A$1:$I$89,3,0)*VLOOKUP('Données projet'!$B$10,Paramètres!$A$1:$I$89,5,0)</f>
        <v>156.14559999999986</v>
      </c>
      <c r="AK90" s="14">
        <f t="shared" si="89"/>
        <v>39.971914768670302</v>
      </c>
      <c r="AL90" s="22">
        <f t="shared" si="58"/>
        <v>341.57133822210056</v>
      </c>
      <c r="AM90" s="62">
        <f t="shared" si="59"/>
        <v>610.94819157223651</v>
      </c>
      <c r="AN90" s="62">
        <f ca="1">AVERAGE(OFFSET($AM$3,0,0,'Données projet'!$E$10+1,1))-AVERAGE(OFFSET($H$3,0,0,'Données projet'!$E$10+1,1))</f>
        <v>289.05608923588198</v>
      </c>
      <c r="AO90" s="62">
        <f t="shared" si="90"/>
        <v>220.06639020312738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63.466414550037086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1.5429166666666674</v>
      </c>
      <c r="BD90" s="13">
        <f>IF('Données projet'!$A$88&gt;35,BD89+BC90-BL89,IF(A90&lt;'Données projet'!$A$88,$BA$205^A90,IF(A90='Données projet'!$A$88,'Données projet'!$B$88,BD89+BC90-BL89)))</f>
        <v>101.77958333333329</v>
      </c>
      <c r="BE90" s="14">
        <f>BD90*VLOOKUP('Données projet'!$B$11,Paramètres!$A$1:$I$89,3,0)*VLOOKUP('Données projet'!$B$11,Paramètres!$A$1:$I$89,5,0)</f>
        <v>117.25007999999994</v>
      </c>
      <c r="BF90" s="14">
        <f t="shared" si="91"/>
        <v>31.032762821194346</v>
      </c>
      <c r="BG90" s="22">
        <f t="shared" si="61"/>
        <v>258.25928458024669</v>
      </c>
      <c r="BH90" s="62">
        <f t="shared" si="62"/>
        <v>527.63613793038257</v>
      </c>
      <c r="BI90" s="62">
        <f ca="1">AVERAGE(OFFSET($BH$3,0,0,'Données projet'!$E$11+1,1))-AVERAGE(OFFSET($H$3,0,0,'Données projet'!$E$11+1,1))</f>
        <v>299.54950406029354</v>
      </c>
      <c r="BJ90" s="62">
        <f t="shared" si="92"/>
        <v>208.26364698165739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63.466414550037086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2.9487179487179502</v>
      </c>
      <c r="BY90" s="13">
        <f>IF('Données projet'!$A$114&gt;35,BY89+BX90-CG89,IF(A90&lt;'Données projet'!$A$114,$BV$205^A90,IF(A90='Données projet'!$A$114,'Données projet'!$B$114,BY89+BX90-CG89)))</f>
        <v>213.58974358974348</v>
      </c>
      <c r="BZ90" s="14">
        <f>BY90*VLOOKUP('Données projet'!$B$12,Paramètres!$A$1:$I$89,3,0)*VLOOKUP('Données projet'!$B$12,Paramètres!$A$1:$I$89,5,0)</f>
        <v>229.90799999999987</v>
      </c>
      <c r="CA90" s="14">
        <f t="shared" si="93"/>
        <v>56.262788517013057</v>
      </c>
      <c r="CB90" s="22">
        <f t="shared" si="64"/>
        <v>498.41412333379748</v>
      </c>
      <c r="CC90" s="62">
        <f t="shared" si="65"/>
        <v>767.79097668393342</v>
      </c>
      <c r="CD90" s="62">
        <f ca="1">AVERAGE(OFFSET($CC$3,0,0,'Données projet'!$E$12+1,1))-AVERAGE(OFFSET($H$3,0,0,'Données projet'!$E$12+1,1))</f>
        <v>441.30518831297212</v>
      </c>
      <c r="CE90" s="62">
        <f t="shared" si="94"/>
        <v>270.42872405271851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63.466414550037086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-1.1368683772161603E-13</v>
      </c>
      <c r="CU90" s="18">
        <f>CT90*VLOOKUP('Données projet'!$B$13,Paramètres!$A$1:$I$89,3,0)*VLOOKUP('Données projet'!$B$13,Paramètres!$A$1:$I$89,5,0)</f>
        <v>-9.9316821433603781E-14</v>
      </c>
      <c r="CV90" s="14" t="e">
        <f t="shared" si="95"/>
        <v>#NUM!</v>
      </c>
      <c r="CW90" s="22" t="e">
        <f t="shared" si="67"/>
        <v>#NUM!</v>
      </c>
      <c r="CX90" s="62" t="e">
        <f t="shared" si="68"/>
        <v>#NUM!</v>
      </c>
      <c r="CY90" s="62">
        <f ca="1">AVERAGE(OFFSET($CX$3,0,0,'Données projet'!$E$13+1,1))-AVERAGE(OFFSET($H$3,0,0,'Données projet'!$E$13+1,1))</f>
        <v>310.81258463659196</v>
      </c>
      <c r="CZ90" s="62">
        <f t="shared" si="96"/>
        <v>287.31099756692083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63.466414550037086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2.9487179487179502</v>
      </c>
      <c r="DO90" s="13">
        <f>IF('Données projet'!$A$166&gt;35,DO89+DN90-DW89,IF(A90&lt;'Données projet'!$A$166,$DL$205^A90,IF(A90='Données projet'!$A$166,'Données projet'!$B$166,DO89+DN90-DW89)))</f>
        <v>213.58974358974348</v>
      </c>
      <c r="DP90" s="18">
        <f>DO90*VLOOKUP('Données projet'!$B$14,Paramètres!$A$1:$I$89,3,0)*VLOOKUP('Données projet'!$B$14,Paramètres!$A$1:$I$89,5,0)</f>
        <v>223.24399999999989</v>
      </c>
      <c r="DQ90" s="14">
        <f t="shared" si="97"/>
        <v>54.819351308623148</v>
      </c>
      <c r="DR90" s="22">
        <f t="shared" si="70"/>
        <v>484.2936701958518</v>
      </c>
      <c r="DS90" s="62">
        <f t="shared" si="71"/>
        <v>753.67052354598775</v>
      </c>
      <c r="DT90" s="62">
        <f ca="1">AVERAGE(OFFSET($DS$3,0,0,'Données projet'!$E$14+1,1))-AVERAGE(OFFSET($H$3,0,0,'Données projet'!$E$14+1,1))</f>
        <v>431.19274104373625</v>
      </c>
      <c r="DU90" s="62">
        <f t="shared" si="98"/>
        <v>264.67919175178133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63.466414550037086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>
        <f>VLOOKUP(A90,'Données projet'!$A$191:$I$211,2,0)</f>
        <v>383.13846153846151</v>
      </c>
      <c r="EH90" s="13">
        <f>VLOOKUP(A90,'Données projet'!$A$191:$I$211,9,0)</f>
        <v>9.0717948717948698</v>
      </c>
      <c r="EI90" s="13">
        <f t="array" ref="EI90">INDEX(EH:EH,MIN(IF(ISNUMBER(EH90:EH286),ROW(EH90:EH286),"")))</f>
        <v>9.0717948717948698</v>
      </c>
      <c r="EJ90" s="13">
        <f>IF('Données projet'!$A$192&gt;35,EJ89+EI90-ER89,IF(A90&lt;'Données projet'!$A$192,$EG$205^A90,IF(A90='Données projet'!$A$192,'Données projet'!$B$192,EJ89+EI90-ER89)))</f>
        <v>383.138461538461</v>
      </c>
      <c r="EK90" s="18">
        <f>EJ90*VLOOKUP('Données projet'!$B$15,Paramètres!$A$1:$I$89,3,0)*VLOOKUP('Données projet'!$B$15,Paramètres!$A$1:$I$89,5,0)</f>
        <v>179.30879999999974</v>
      </c>
      <c r="EL90" s="14">
        <f t="shared" si="99"/>
        <v>45.168372484136519</v>
      </c>
      <c r="EM90" s="22">
        <f t="shared" si="73"/>
        <v>390.96440874320393</v>
      </c>
      <c r="EN90" s="62">
        <f t="shared" si="74"/>
        <v>660.34126209333988</v>
      </c>
      <c r="EO90" s="62">
        <f ca="1">AVERAGE(OFFSET($EN$3,0,0,'Données projet'!$E$15+1,1))-AVERAGE(OFFSET($H$3,0,0,'Données projet'!$E$15+1,1))</f>
        <v>291.68530745507815</v>
      </c>
      <c r="EP90" s="62">
        <f t="shared" si="100"/>
        <v>175.95121106728979</v>
      </c>
      <c r="EQ90" s="16">
        <f>IF(ISNA(VLOOKUP(A90,'Données projet'!$A$191:$I$211,3,0)),0,VLOOKUP(A90,'Données projet'!$A$191:$I$211,3,0))</f>
        <v>4</v>
      </c>
      <c r="ER90" s="16">
        <f>IF(ISNA(VLOOKUP(A90,'Données projet'!$A$191:$I$211,4,0)),0,VLOOKUP(A90,'Données projet'!$A$191:$I$211,4,0))</f>
        <v>82.938461538461524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0</v>
      </c>
      <c r="EZ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63.466414550037086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2.8</v>
      </c>
      <c r="FE90" s="13">
        <f>IF('Données projet'!$A$218&gt;35,FE89+FD90-FM89,IF(A90&lt;'Données projet'!$A$218,$FB$205^A90,IF(A90='Données projet'!$A$218,'Données projet'!$B$218,FE89+FD90-FM89)))</f>
        <v>198.59999999999985</v>
      </c>
      <c r="FF90" s="18">
        <f>FE90*VLOOKUP('Données projet'!$B$16,Paramètres!$A$1:$I$89,3,0)*VLOOKUP('Données projet'!$B$16,Paramètres!$A$1:$I$89,5,0)</f>
        <v>130.1227199999999</v>
      </c>
      <c r="FG90" s="14">
        <f t="shared" si="101"/>
        <v>34.024714763793234</v>
      </c>
      <c r="FH90" s="22">
        <f t="shared" si="76"/>
        <v>285.89011554693974</v>
      </c>
      <c r="FI90" s="62">
        <f t="shared" si="77"/>
        <v>555.26696889707569</v>
      </c>
      <c r="FJ90" s="62">
        <f ca="1">AVERAGE(OFFSET($FI$3,0,0,'Données projet'!$E$16+1,1))-AVERAGE(OFFSET($H$3,0,0,'Données projet'!$E$16+1,1))</f>
        <v>248.75689726928428</v>
      </c>
      <c r="FK90" s="62">
        <f t="shared" si="102"/>
        <v>232.02291680388336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projet'!$B$16,Paramètres!$A$1:$I$89,3,0)*0.475*44/12</f>
        <v>0</v>
      </c>
      <c r="FR90" s="23">
        <f>EXP(-LN(2)/25)*FR89+(1-EXP(-LN(2)/25))/(LN(2)/25)*Calculateur!FM90*Calculateur!FO90*VLOOKUP('Données projet'!$B$16,Paramètres!$A$1:$I$89,3,0)*0.475*44/12</f>
        <v>0</v>
      </c>
      <c r="FS90" s="23">
        <f>EXP(-LN(2)/2)*FS89+(1-EXP(-LN(2)/2))/(LN(2)/2)*FM90*FP90*VLOOKUP('Données projet'!$B$16,Paramètres!$A$1:$I$89,3,0)*0.475*44/12</f>
        <v>0</v>
      </c>
      <c r="FT90" s="24">
        <f t="shared" si="78"/>
        <v>0</v>
      </c>
      <c r="FU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63.466414550037086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9.8461538461538467</v>
      </c>
      <c r="FZ90" s="13">
        <f>IF('Données projet'!$A$244&gt;35,FZ89+FY90-GH89,IF(A90&lt;'Données projet'!$A$244,$FW$205^A90,IF(A90='Données projet'!$A$244,'Données projet'!$B$244,FZ89+FY90-GH89)))</f>
        <v>354.61538461538504</v>
      </c>
      <c r="GA90" s="18">
        <f>FZ90*VLOOKUP('Données projet'!$B$17,Paramètres!$A$1:$I$89,3,0)*VLOOKUP('Données projet'!$B$17,Paramètres!$A$1:$I$89,5,0)</f>
        <v>212.06000000000026</v>
      </c>
      <c r="GB90" s="14">
        <f t="shared" si="103"/>
        <v>52.385491456666884</v>
      </c>
      <c r="GC90" s="22">
        <f t="shared" si="79"/>
        <v>460.5758976203619</v>
      </c>
      <c r="GD90" s="62">
        <f t="shared" si="80"/>
        <v>729.95275097049785</v>
      </c>
      <c r="GE90" s="62">
        <f ca="1">AVERAGE(OFFSET($GD$3,0,0,'Données projet'!$E$17+1,1))-AVERAGE(OFFSET($H$3,0,0,'Données projet'!$E$17+1,1))</f>
        <v>315.909549580511</v>
      </c>
      <c r="GF90" s="62">
        <f t="shared" si="104"/>
        <v>208.56856525402051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projet'!$B$17,Paramètres!$A$1:$I$89,3,0)*0.475*44/12</f>
        <v>0</v>
      </c>
      <c r="GM90" s="23">
        <f>EXP(-LN(2)/25)*GM89+(1-EXP(-LN(2)/25))/(LN(2)/25)*Calculateur!GH90*Calculateur!GJ90*VLOOKUP('Données projet'!$B$17,Paramètres!$A$1:$I$89,3,0)*0.475*44/12</f>
        <v>0</v>
      </c>
      <c r="GN90" s="23">
        <f>EXP(-LN(2)/2)*GN89+(1-EXP(-LN(2)/2))/(LN(2)/2)*GH90*GK90*VLOOKUP('Données projet'!$B$17,Paramètres!$A$1:$I$89,3,0)*0.475*44/12</f>
        <v>0</v>
      </c>
      <c r="GO90" s="23">
        <f t="shared" si="81"/>
        <v>0</v>
      </c>
      <c r="GP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63.466414550037086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2.8205128205128234</v>
      </c>
      <c r="GU90" s="13">
        <f>IF('Données projet'!$A$270&gt;35,GU89+GT90-HC89,IF(A90&lt;'Données projet'!$A$270,$GR$205^A90,IF(A90='Données projet'!$A$270,'Données projet'!$B$270,GU89+GT90-HC89)))</f>
        <v>176.79487179487191</v>
      </c>
      <c r="GV90" s="18">
        <f>GU90*VLOOKUP('Données projet'!$B$18,Paramètres!$A$1:$I$89,3,0)*VLOOKUP('Données projet'!$B$18,Paramètres!$A$1:$I$89,5,0)</f>
        <v>118.59400000000008</v>
      </c>
      <c r="GW90" s="14">
        <f t="shared" si="105"/>
        <v>31.346848285873254</v>
      </c>
      <c r="GX90" s="22">
        <f t="shared" si="82"/>
        <v>261.14697743122935</v>
      </c>
      <c r="GY90" s="62">
        <f t="shared" si="83"/>
        <v>530.52383078136529</v>
      </c>
      <c r="GZ90" s="62">
        <f ca="1">AVERAGE(OFFSET($GY$3,0,0,'Données projet'!$E$18+1,1))-AVERAGE(OFFSET($H$3,0,0,'Données projet'!$E$18+1,1))</f>
        <v>254.35742752782755</v>
      </c>
      <c r="HA90" s="62">
        <f t="shared" si="106"/>
        <v>171.79611712137395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>
        <f>EXP(-LN(2)/35)*HG89+(1-EXP(-LN(2)/35))/(LN(2)/35)*HC90*HD90*VLOOKUP('Données projet'!$B$18,Paramètres!$A$1:$I$89,3,0)*0.475*44/12</f>
        <v>0</v>
      </c>
      <c r="HH90" s="23">
        <f>EXP(-LN(2)/25)*HH89+(1-EXP(-LN(2)/25))/(LN(2)/25)*Calculateur!HC90*Calculateur!HE90*VLOOKUP('Données projet'!$B$18,Paramètres!$A$1:$I$89,3,0)*0.475*44/12</f>
        <v>0</v>
      </c>
      <c r="HI90" s="23">
        <f>EXP(-LN(2)/2)*HI89+(1-EXP(-LN(2)/2))/(LN(2)/2)*HC90*HF90*VLOOKUP('Données projet'!$B$18,Paramètres!$A$1:$I$89,3,0)*0.475*44/12</f>
        <v>0</v>
      </c>
      <c r="HJ90" s="24">
        <f t="shared" si="84"/>
        <v>0</v>
      </c>
    </row>
    <row r="91" spans="1:218" s="5" customFormat="1" x14ac:dyDescent="0.3">
      <c r="A91" s="11">
        <f t="shared" si="85"/>
        <v>88</v>
      </c>
      <c r="B91" s="76">
        <f>'Scénario référence'!$B$16*5+'Scénario référence'!$B$17*0+'Scénario référence'!$B$18*5</f>
        <v>3.9405000000000001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14.448500000000001</v>
      </c>
      <c r="H91" s="69">
        <f t="shared" si="56"/>
        <v>161.30656666666667</v>
      </c>
      <c r="I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63.579757650685153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3.6835164835164806</v>
      </c>
      <c r="N91" s="14">
        <f>IF('Données projet'!$A$36&gt;35,N90+M91-V90,IF(A91&lt;'Données projet'!$A$36,$K$205^A91,IF(A91='Données projet'!$A$36,'Données projet'!$B$36,N90+M91-V90)))</f>
        <v>162.98571428571427</v>
      </c>
      <c r="O91" s="14">
        <f>N91*VLOOKUP('Données projet'!$B$9,Paramètres!$A$1:$I$89,3,0)*VLOOKUP('Données projet'!$B$9,Paramètres!$A$1:$I$89,5,0)</f>
        <v>95.346642857142854</v>
      </c>
      <c r="P91" s="14">
        <f t="shared" si="87"/>
        <v>25.850343702560167</v>
      </c>
      <c r="Q91" s="22">
        <f t="shared" si="54"/>
        <v>211.08475159148273</v>
      </c>
      <c r="R91" s="62">
        <f t="shared" si="55"/>
        <v>480.87719631066159</v>
      </c>
      <c r="S91" s="62">
        <f ca="1">AVERAGE(OFFSET($R$3,0,0,'Données projet'!$E$9+1,1))-AVERAGE(OFFSET($H$3,0,0,'Données projet'!$E$9+1,1))</f>
        <v>210.54472399593521</v>
      </c>
      <c r="T91" s="62">
        <f t="shared" si="88"/>
        <v>181.14158435194193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63.579757650685153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1.5399999999999978</v>
      </c>
      <c r="AI91" s="14">
        <f>IF('Données projet'!$A$62&gt;35,AI90+AH91-AQ90,IF(A91&lt;'Données projet'!$A$62,$AF$205^A91,IF(A91='Données projet'!$A$62,'Données projet'!$B$62,AI90+AH91-AQ90)))</f>
        <v>301.81999999999971</v>
      </c>
      <c r="AJ91" s="14">
        <f>AI91*VLOOKUP('Données projet'!$B$10,Paramètres!$A$1:$I$89,3,0)*VLOOKUP('Données projet'!$B$10,Paramètres!$A$1:$I$89,5,0)</f>
        <v>156.94639999999987</v>
      </c>
      <c r="AK91" s="14">
        <f t="shared" si="89"/>
        <v>40.152996889442761</v>
      </c>
      <c r="AL91" s="22">
        <f t="shared" si="58"/>
        <v>343.28144958244587</v>
      </c>
      <c r="AM91" s="62">
        <f t="shared" si="59"/>
        <v>613.0738943016247</v>
      </c>
      <c r="AN91" s="62">
        <f ca="1">AVERAGE(OFFSET($AM$3,0,0,'Données projet'!$E$10+1,1))-AVERAGE(OFFSET($H$3,0,0,'Données projet'!$E$10+1,1))</f>
        <v>289.05608923588198</v>
      </c>
      <c r="AO91" s="62">
        <f t="shared" si="90"/>
        <v>220.06639020312738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63.579757650685153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1.5429166666666674</v>
      </c>
      <c r="BD91" s="13">
        <f>IF('Données projet'!$A$88&gt;35,BD90+BC91-BL90,IF(A91&lt;'Données projet'!$A$88,$BA$205^A91,IF(A91='Données projet'!$A$88,'Données projet'!$B$88,BD90+BC91-BL90)))</f>
        <v>103.32249999999996</v>
      </c>
      <c r="BE91" s="14">
        <f>BD91*VLOOKUP('Données projet'!$B$11,Paramètres!$A$1:$I$89,3,0)*VLOOKUP('Données projet'!$B$11,Paramètres!$A$1:$I$89,5,0)</f>
        <v>119.02751999999994</v>
      </c>
      <c r="BF91" s="14">
        <f t="shared" si="91"/>
        <v>31.448077002121423</v>
      </c>
      <c r="BG91" s="22">
        <f t="shared" si="61"/>
        <v>262.07833144536136</v>
      </c>
      <c r="BH91" s="62">
        <f t="shared" si="62"/>
        <v>531.8707761645403</v>
      </c>
      <c r="BI91" s="62">
        <f ca="1">AVERAGE(OFFSET($BH$3,0,0,'Données projet'!$E$11+1,1))-AVERAGE(OFFSET($H$3,0,0,'Données projet'!$E$11+1,1))</f>
        <v>299.54950406029354</v>
      </c>
      <c r="BJ91" s="62">
        <f t="shared" si="92"/>
        <v>208.26364698165739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63.579757650685153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2.9487179487179502</v>
      </c>
      <c r="BY91" s="13">
        <f>IF('Données projet'!$A$114&gt;35,BY90+BX91-CG90,IF(A91&lt;'Données projet'!$A$114,$BV$205^A91,IF(A91='Données projet'!$A$114,'Données projet'!$B$114,BY90+BX91-CG90)))</f>
        <v>216.53846153846143</v>
      </c>
      <c r="BZ91" s="14">
        <f>BY91*VLOOKUP('Données projet'!$B$12,Paramètres!$A$1:$I$89,3,0)*VLOOKUP('Données projet'!$B$12,Paramètres!$A$1:$I$89,5,0)</f>
        <v>233.08199999999988</v>
      </c>
      <c r="CA91" s="14">
        <f t="shared" si="93"/>
        <v>56.948564849293405</v>
      </c>
      <c r="CB91" s="22">
        <f t="shared" si="64"/>
        <v>505.13656711251906</v>
      </c>
      <c r="CC91" s="62">
        <f t="shared" si="65"/>
        <v>774.92901183169795</v>
      </c>
      <c r="CD91" s="62">
        <f ca="1">AVERAGE(OFFSET($CC$3,0,0,'Données projet'!$E$12+1,1))-AVERAGE(OFFSET($H$3,0,0,'Données projet'!$E$12+1,1))</f>
        <v>441.30518831297212</v>
      </c>
      <c r="CE91" s="62">
        <f t="shared" si="94"/>
        <v>270.42872405271851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63.579757650685153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-1.1368683772161603E-13</v>
      </c>
      <c r="CU91" s="18">
        <f>CT91*VLOOKUP('Données projet'!$B$13,Paramètres!$A$1:$I$89,3,0)*VLOOKUP('Données projet'!$B$13,Paramètres!$A$1:$I$89,5,0)</f>
        <v>-9.9316821433603781E-14</v>
      </c>
      <c r="CV91" s="14" t="e">
        <f t="shared" si="95"/>
        <v>#NUM!</v>
      </c>
      <c r="CW91" s="22" t="e">
        <f t="shared" si="67"/>
        <v>#NUM!</v>
      </c>
      <c r="CX91" s="62" t="e">
        <f t="shared" si="68"/>
        <v>#NUM!</v>
      </c>
      <c r="CY91" s="62">
        <f ca="1">AVERAGE(OFFSET($CX$3,0,0,'Données projet'!$E$13+1,1))-AVERAGE(OFFSET($H$3,0,0,'Données projet'!$E$13+1,1))</f>
        <v>310.81258463659196</v>
      </c>
      <c r="CZ91" s="62">
        <f t="shared" si="96"/>
        <v>287.31099756692083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63.579757650685153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2.9487179487179502</v>
      </c>
      <c r="DO91" s="13">
        <f>IF('Données projet'!$A$166&gt;35,DO90+DN91-DW90,IF(A91&lt;'Données projet'!$A$166,$DL$205^A91,IF(A91='Données projet'!$A$166,'Données projet'!$B$166,DO90+DN91-DW90)))</f>
        <v>216.53846153846143</v>
      </c>
      <c r="DP91" s="18">
        <f>DO91*VLOOKUP('Données projet'!$B$14,Paramètres!$A$1:$I$89,3,0)*VLOOKUP('Données projet'!$B$14,Paramètres!$A$1:$I$89,5,0)</f>
        <v>226.32599999999991</v>
      </c>
      <c r="DQ91" s="14">
        <f t="shared" si="97"/>
        <v>55.487533861769222</v>
      </c>
      <c r="DR91" s="22">
        <f t="shared" si="70"/>
        <v>490.82523814258121</v>
      </c>
      <c r="DS91" s="62">
        <f t="shared" si="71"/>
        <v>760.61768286176016</v>
      </c>
      <c r="DT91" s="62">
        <f ca="1">AVERAGE(OFFSET($DS$3,0,0,'Données projet'!$E$14+1,1))-AVERAGE(OFFSET($H$3,0,0,'Données projet'!$E$14+1,1))</f>
        <v>431.19274104373625</v>
      </c>
      <c r="DU91" s="62">
        <f t="shared" si="98"/>
        <v>264.67919175178133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63.579757650685153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8.1205128205128201</v>
      </c>
      <c r="EJ91" s="13">
        <f>IF('Données projet'!$A$192&gt;35,EJ90+EI91-ER90,IF(A91&lt;'Données projet'!$A$192,$EG$205^A91,IF(A91='Données projet'!$A$192,'Données projet'!$B$192,EJ90+EI91-ER90)))</f>
        <v>308.32051282051231</v>
      </c>
      <c r="EK91" s="18">
        <f>EJ91*VLOOKUP('Données projet'!$B$15,Paramètres!$A$1:$I$89,3,0)*VLOOKUP('Données projet'!$B$15,Paramètres!$A$1:$I$89,5,0)</f>
        <v>144.29399999999976</v>
      </c>
      <c r="EL91" s="14">
        <f t="shared" si="99"/>
        <v>37.278964348289335</v>
      </c>
      <c r="EM91" s="22">
        <f t="shared" si="73"/>
        <v>316.23957957327008</v>
      </c>
      <c r="EN91" s="62">
        <f t="shared" si="74"/>
        <v>586.03202429244902</v>
      </c>
      <c r="EO91" s="62">
        <f ca="1">AVERAGE(OFFSET($EN$3,0,0,'Données projet'!$E$15+1,1))-AVERAGE(OFFSET($H$3,0,0,'Données projet'!$E$15+1,1))</f>
        <v>291.68530745507815</v>
      </c>
      <c r="EP91" s="62">
        <f t="shared" si="100"/>
        <v>175.95121106728979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0</v>
      </c>
      <c r="EZ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63.579757650685153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2.8</v>
      </c>
      <c r="FE91" s="13">
        <f>IF('Données projet'!$A$218&gt;35,FE90+FD91-FM90,IF(A91&lt;'Données projet'!$A$218,$FB$205^A91,IF(A91='Données projet'!$A$218,'Données projet'!$B$218,FE90+FD91-FM90)))</f>
        <v>201.39999999999986</v>
      </c>
      <c r="FF91" s="18">
        <f>FE91*VLOOKUP('Données projet'!$B$16,Paramètres!$A$1:$I$89,3,0)*VLOOKUP('Données projet'!$B$16,Paramètres!$A$1:$I$89,5,0)</f>
        <v>131.95727999999991</v>
      </c>
      <c r="FG91" s="14">
        <f t="shared" si="101"/>
        <v>34.448235170411273</v>
      </c>
      <c r="FH91" s="22">
        <f t="shared" si="76"/>
        <v>289.82293892179945</v>
      </c>
      <c r="FI91" s="62">
        <f t="shared" si="77"/>
        <v>559.61538364097828</v>
      </c>
      <c r="FJ91" s="62">
        <f ca="1">AVERAGE(OFFSET($FI$3,0,0,'Données projet'!$E$16+1,1))-AVERAGE(OFFSET($H$3,0,0,'Données projet'!$E$16+1,1))</f>
        <v>248.75689726928428</v>
      </c>
      <c r="FK91" s="62">
        <f t="shared" si="102"/>
        <v>232.02291680388336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projet'!$B$16,Paramètres!$A$1:$I$89,3,0)*0.475*44/12</f>
        <v>0</v>
      </c>
      <c r="FR91" s="23">
        <f>EXP(-LN(2)/25)*FR90+(1-EXP(-LN(2)/25))/(LN(2)/25)*Calculateur!FM91*Calculateur!FO91*VLOOKUP('Données projet'!$B$16,Paramètres!$A$1:$I$89,3,0)*0.475*44/12</f>
        <v>0</v>
      </c>
      <c r="FS91" s="23">
        <f>EXP(-LN(2)/2)*FS90+(1-EXP(-LN(2)/2))/(LN(2)/2)*FM91*FP91*VLOOKUP('Données projet'!$B$16,Paramètres!$A$1:$I$89,3,0)*0.475*44/12</f>
        <v>0</v>
      </c>
      <c r="FT91" s="24">
        <f t="shared" si="78"/>
        <v>0</v>
      </c>
      <c r="FU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63.579757650685153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9.8461538461538467</v>
      </c>
      <c r="FZ91" s="13">
        <f>IF('Données projet'!$A$244&gt;35,FZ90+FY91-GH90,IF(A91&lt;'Données projet'!$A$244,$FW$205^A91,IF(A91='Données projet'!$A$244,'Données projet'!$B$244,FZ90+FY91-GH90)))</f>
        <v>364.46153846153891</v>
      </c>
      <c r="GA91" s="18">
        <f>FZ91*VLOOKUP('Données projet'!$B$17,Paramètres!$A$1:$I$89,3,0)*VLOOKUP('Données projet'!$B$17,Paramètres!$A$1:$I$89,5,0)</f>
        <v>217.94800000000029</v>
      </c>
      <c r="GB91" s="14">
        <f t="shared" si="103"/>
        <v>53.66865070903814</v>
      </c>
      <c r="GC91" s="22">
        <f t="shared" si="79"/>
        <v>473.06566665157521</v>
      </c>
      <c r="GD91" s="62">
        <f t="shared" si="80"/>
        <v>742.85811137075416</v>
      </c>
      <c r="GE91" s="62">
        <f ca="1">AVERAGE(OFFSET($GD$3,0,0,'Données projet'!$E$17+1,1))-AVERAGE(OFFSET($H$3,0,0,'Données projet'!$E$17+1,1))</f>
        <v>315.909549580511</v>
      </c>
      <c r="GF91" s="62">
        <f t="shared" si="104"/>
        <v>208.56856525402051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projet'!$B$17,Paramètres!$A$1:$I$89,3,0)*0.475*44/12</f>
        <v>0</v>
      </c>
      <c r="GM91" s="23">
        <f>EXP(-LN(2)/25)*GM90+(1-EXP(-LN(2)/25))/(LN(2)/25)*Calculateur!GH91*Calculateur!GJ91*VLOOKUP('Données projet'!$B$17,Paramètres!$A$1:$I$89,3,0)*0.475*44/12</f>
        <v>0</v>
      </c>
      <c r="GN91" s="23">
        <f>EXP(-LN(2)/2)*GN90+(1-EXP(-LN(2)/2))/(LN(2)/2)*GH91*GK91*VLOOKUP('Données projet'!$B$17,Paramètres!$A$1:$I$89,3,0)*0.475*44/12</f>
        <v>0</v>
      </c>
      <c r="GO91" s="23">
        <f t="shared" si="81"/>
        <v>0</v>
      </c>
      <c r="GP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63.579757650685153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2.8205128205128234</v>
      </c>
      <c r="GU91" s="13">
        <f>IF('Données projet'!$A$270&gt;35,GU90+GT91-HC90,IF(A91&lt;'Données projet'!$A$270,$GR$205^A91,IF(A91='Données projet'!$A$270,'Données projet'!$B$270,GU90+GT91-HC90)))</f>
        <v>179.61538461538473</v>
      </c>
      <c r="GV91" s="18">
        <f>GU91*VLOOKUP('Données projet'!$B$18,Paramètres!$A$1:$I$89,3,0)*VLOOKUP('Données projet'!$B$18,Paramètres!$A$1:$I$89,5,0)</f>
        <v>120.48600000000009</v>
      </c>
      <c r="GW91" s="14">
        <f t="shared" si="105"/>
        <v>31.788324135192319</v>
      </c>
      <c r="GX91" s="22">
        <f t="shared" si="82"/>
        <v>265.21111453546013</v>
      </c>
      <c r="GY91" s="62">
        <f t="shared" si="83"/>
        <v>535.00355925463896</v>
      </c>
      <c r="GZ91" s="62">
        <f ca="1">AVERAGE(OFFSET($GY$3,0,0,'Données projet'!$E$18+1,1))-AVERAGE(OFFSET($H$3,0,0,'Données projet'!$E$18+1,1))</f>
        <v>254.35742752782755</v>
      </c>
      <c r="HA91" s="62">
        <f t="shared" si="106"/>
        <v>171.79611712137395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>
        <f>EXP(-LN(2)/35)*HG90+(1-EXP(-LN(2)/35))/(LN(2)/35)*HC91*HD91*VLOOKUP('Données projet'!$B$18,Paramètres!$A$1:$I$89,3,0)*0.475*44/12</f>
        <v>0</v>
      </c>
      <c r="HH91" s="23">
        <f>EXP(-LN(2)/25)*HH90+(1-EXP(-LN(2)/25))/(LN(2)/25)*Calculateur!HC91*Calculateur!HE91*VLOOKUP('Données projet'!$B$18,Paramètres!$A$1:$I$89,3,0)*0.475*44/12</f>
        <v>0</v>
      </c>
      <c r="HI91" s="23">
        <f>EXP(-LN(2)/2)*HI90+(1-EXP(-LN(2)/2))/(LN(2)/2)*HC91*HF91*VLOOKUP('Données projet'!$B$18,Paramètres!$A$1:$I$89,3,0)*0.475*44/12</f>
        <v>0</v>
      </c>
      <c r="HJ91" s="24">
        <f t="shared" si="84"/>
        <v>0</v>
      </c>
    </row>
    <row r="92" spans="1:218" s="5" customFormat="1" x14ac:dyDescent="0.3">
      <c r="A92" s="11">
        <f t="shared" si="85"/>
        <v>89</v>
      </c>
      <c r="B92" s="76">
        <f>'Scénario référence'!$B$16*5+'Scénario référence'!$B$17*0+'Scénario référence'!$B$18*5</f>
        <v>3.9405000000000001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14.448500000000001</v>
      </c>
      <c r="H92" s="69">
        <f t="shared" si="56"/>
        <v>161.30656666666667</v>
      </c>
      <c r="I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63.691134501934179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>
        <f>VLOOKUP(A92,'Données projet'!$A$35:$I$55,2,0)</f>
        <v>166.66923076923075</v>
      </c>
      <c r="L92" s="13">
        <f>VLOOKUP(A92,'Données projet'!$A$35:$I$55,9,0)</f>
        <v>3.6835164835164806</v>
      </c>
      <c r="M92" s="13">
        <f t="array" ref="M92">INDEX(L:L,MIN(IF(ISNUMBER(L92:L288),ROW(L92:L288),"")))</f>
        <v>3.6835164835164806</v>
      </c>
      <c r="N92" s="14">
        <f>IF('Données projet'!$A$36&gt;35,N91+M92-V91,IF(A92&lt;'Données projet'!$A$36,$K$205^A92,IF(A92='Données projet'!$A$36,'Données projet'!$B$36,N91+M92-V91)))</f>
        <v>166.66923076923075</v>
      </c>
      <c r="O92" s="14">
        <f>N92*VLOOKUP('Données projet'!$B$9,Paramètres!$A$1:$I$89,3,0)*VLOOKUP('Données projet'!$B$9,Paramètres!$A$1:$I$89,5,0)</f>
        <v>97.501499999999993</v>
      </c>
      <c r="P92" s="14">
        <f t="shared" si="87"/>
        <v>26.365890676507046</v>
      </c>
      <c r="Q92" s="22">
        <f t="shared" si="54"/>
        <v>215.73570542824973</v>
      </c>
      <c r="R92" s="62">
        <f t="shared" si="55"/>
        <v>485.93653193534175</v>
      </c>
      <c r="S92" s="62">
        <f ca="1">AVERAGE(OFFSET($R$3,0,0,'Données projet'!$E$9+1,1))-AVERAGE(OFFSET($H$3,0,0,'Données projet'!$E$9+1,1))</f>
        <v>210.54472399593521</v>
      </c>
      <c r="T92" s="62">
        <f t="shared" si="88"/>
        <v>181.14158435194193</v>
      </c>
      <c r="U92" s="16">
        <f>IF(ISNA(VLOOKUP(A92,'Données projet'!$A$35:$I$55,3,0)),0,VLOOKUP(A92,'Données projet'!$A$35:$I$55,3,0))</f>
        <v>4</v>
      </c>
      <c r="V92" s="16">
        <f>IF(ISNA(VLOOKUP(A92,'Données projet'!$A$35:$I$55,4,0)),0,VLOOKUP(A92,'Données projet'!$A$35:$I$55,4,0))</f>
        <v>166.66923076923075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63.691134501934179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1.5399999999999978</v>
      </c>
      <c r="AI92" s="14">
        <f>IF('Données projet'!$A$62&gt;35,AI91+AH92-AQ91,IF(A92&lt;'Données projet'!$A$62,$AF$205^A92,IF(A92='Données projet'!$A$62,'Données projet'!$B$62,AI91+AH92-AQ91)))</f>
        <v>303.35999999999973</v>
      </c>
      <c r="AJ92" s="14">
        <f>AI92*VLOOKUP('Données projet'!$B$10,Paramètres!$A$1:$I$89,3,0)*VLOOKUP('Données projet'!$B$10,Paramètres!$A$1:$I$89,5,0)</f>
        <v>157.74719999999988</v>
      </c>
      <c r="AK92" s="14">
        <f t="shared" si="89"/>
        <v>40.333971493920025</v>
      </c>
      <c r="AL92" s="22">
        <f t="shared" si="58"/>
        <v>344.99137368524384</v>
      </c>
      <c r="AM92" s="62">
        <f t="shared" si="59"/>
        <v>615.1922001923358</v>
      </c>
      <c r="AN92" s="62">
        <f ca="1">AVERAGE(OFFSET($AM$3,0,0,'Données projet'!$E$10+1,1))-AVERAGE(OFFSET($H$3,0,0,'Données projet'!$E$10+1,1))</f>
        <v>289.05608923588198</v>
      </c>
      <c r="AO92" s="62">
        <f t="shared" si="90"/>
        <v>220.06639020312738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63.691134501934179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1.5429166666666674</v>
      </c>
      <c r="BD92" s="13">
        <f>IF('Données projet'!$A$88&gt;35,BD91+BC92-BL91,IF(A92&lt;'Données projet'!$A$88,$BA$205^A92,IF(A92='Données projet'!$A$88,'Données projet'!$B$88,BD91+BC92-BL91)))</f>
        <v>104.86541666666663</v>
      </c>
      <c r="BE92" s="14">
        <f>BD92*VLOOKUP('Données projet'!$B$11,Paramètres!$A$1:$I$89,3,0)*VLOOKUP('Données projet'!$B$11,Paramètres!$A$1:$I$89,5,0)</f>
        <v>120.80495999999994</v>
      </c>
      <c r="BF92" s="14">
        <f t="shared" si="91"/>
        <v>31.862669881307355</v>
      </c>
      <c r="BG92" s="22">
        <f t="shared" si="61"/>
        <v>265.89612204327688</v>
      </c>
      <c r="BH92" s="62">
        <f t="shared" si="62"/>
        <v>536.09694855036889</v>
      </c>
      <c r="BI92" s="62">
        <f ca="1">AVERAGE(OFFSET($BH$3,0,0,'Données projet'!$E$11+1,1))-AVERAGE(OFFSET($H$3,0,0,'Données projet'!$E$11+1,1))</f>
        <v>299.54950406029354</v>
      </c>
      <c r="BJ92" s="62">
        <f t="shared" si="92"/>
        <v>208.26364698165739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63.691134501934179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2.9487179487179502</v>
      </c>
      <c r="BY92" s="13">
        <f>IF('Données projet'!$A$114&gt;35,BY91+BX92-CG91,IF(A92&lt;'Données projet'!$A$114,$BV$205^A92,IF(A92='Données projet'!$A$114,'Données projet'!$B$114,BY91+BX92-CG91)))</f>
        <v>219.48717948717939</v>
      </c>
      <c r="BZ92" s="14">
        <f>BY92*VLOOKUP('Données projet'!$B$12,Paramètres!$A$1:$I$89,3,0)*VLOOKUP('Données projet'!$B$12,Paramètres!$A$1:$I$89,5,0)</f>
        <v>236.25599999999989</v>
      </c>
      <c r="CA92" s="14">
        <f t="shared" si="93"/>
        <v>57.633254996820824</v>
      </c>
      <c r="CB92" s="22">
        <f t="shared" si="64"/>
        <v>511.85711911946265</v>
      </c>
      <c r="CC92" s="62">
        <f t="shared" si="65"/>
        <v>782.05794562655467</v>
      </c>
      <c r="CD92" s="62">
        <f ca="1">AVERAGE(OFFSET($CC$3,0,0,'Données projet'!$E$12+1,1))-AVERAGE(OFFSET($H$3,0,0,'Données projet'!$E$12+1,1))</f>
        <v>441.30518831297212</v>
      </c>
      <c r="CE92" s="62">
        <f t="shared" si="94"/>
        <v>270.42872405271851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63.691134501934179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-1.1368683772161603E-13</v>
      </c>
      <c r="CU92" s="18">
        <f>CT92*VLOOKUP('Données projet'!$B$13,Paramètres!$A$1:$I$89,3,0)*VLOOKUP('Données projet'!$B$13,Paramètres!$A$1:$I$89,5,0)</f>
        <v>-9.9316821433603781E-14</v>
      </c>
      <c r="CV92" s="14" t="e">
        <f t="shared" si="95"/>
        <v>#NUM!</v>
      </c>
      <c r="CW92" s="22" t="e">
        <f t="shared" si="67"/>
        <v>#NUM!</v>
      </c>
      <c r="CX92" s="62" t="e">
        <f t="shared" si="68"/>
        <v>#NUM!</v>
      </c>
      <c r="CY92" s="62">
        <f ca="1">AVERAGE(OFFSET($CX$3,0,0,'Données projet'!$E$13+1,1))-AVERAGE(OFFSET($H$3,0,0,'Données projet'!$E$13+1,1))</f>
        <v>310.81258463659196</v>
      </c>
      <c r="CZ92" s="62">
        <f t="shared" si="96"/>
        <v>287.31099756692083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63.691134501934179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2.9487179487179502</v>
      </c>
      <c r="DO92" s="13">
        <f>IF('Données projet'!$A$166&gt;35,DO91+DN92-DW91,IF(A92&lt;'Données projet'!$A$166,$DL$205^A92,IF(A92='Données projet'!$A$166,'Données projet'!$B$166,DO91+DN92-DW91)))</f>
        <v>219.48717948717939</v>
      </c>
      <c r="DP92" s="18">
        <f>DO92*VLOOKUP('Données projet'!$B$14,Paramètres!$A$1:$I$89,3,0)*VLOOKUP('Données projet'!$B$14,Paramètres!$A$1:$I$89,5,0)</f>
        <v>229.40799999999993</v>
      </c>
      <c r="DQ92" s="14">
        <f t="shared" si="97"/>
        <v>56.154658096528863</v>
      </c>
      <c r="DR92" s="22">
        <f t="shared" si="70"/>
        <v>497.35496285145433</v>
      </c>
      <c r="DS92" s="62">
        <f t="shared" si="71"/>
        <v>767.55578935854635</v>
      </c>
      <c r="DT92" s="62">
        <f ca="1">AVERAGE(OFFSET($DS$3,0,0,'Données projet'!$E$14+1,1))-AVERAGE(OFFSET($H$3,0,0,'Données projet'!$E$14+1,1))</f>
        <v>431.19274104373625</v>
      </c>
      <c r="DU92" s="62">
        <f t="shared" si="98"/>
        <v>264.67919175178133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63.691134501934179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8.1205128205128201</v>
      </c>
      <c r="EJ92" s="13">
        <f>IF('Données projet'!$A$192&gt;35,EJ91+EI92-ER91,IF(A92&lt;'Données projet'!$A$192,$EG$205^A92,IF(A92='Données projet'!$A$192,'Données projet'!$B$192,EJ91+EI92-ER91)))</f>
        <v>316.44102564102513</v>
      </c>
      <c r="EK92" s="18">
        <f>EJ92*VLOOKUP('Données projet'!$B$15,Paramètres!$A$1:$I$89,3,0)*VLOOKUP('Données projet'!$B$15,Paramètres!$A$1:$I$89,5,0)</f>
        <v>148.09439999999975</v>
      </c>
      <c r="EL92" s="14">
        <f t="shared" si="99"/>
        <v>38.145209470220848</v>
      </c>
      <c r="EM92" s="22">
        <f t="shared" si="73"/>
        <v>324.36731982730089</v>
      </c>
      <c r="EN92" s="62">
        <f t="shared" si="74"/>
        <v>594.56814633439285</v>
      </c>
      <c r="EO92" s="62">
        <f ca="1">AVERAGE(OFFSET($EN$3,0,0,'Données projet'!$E$15+1,1))-AVERAGE(OFFSET($H$3,0,0,'Données projet'!$E$15+1,1))</f>
        <v>291.68530745507815</v>
      </c>
      <c r="EP92" s="62">
        <f t="shared" si="100"/>
        <v>175.95121106728979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0</v>
      </c>
      <c r="EZ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63.691134501934179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2.8</v>
      </c>
      <c r="FE92" s="13">
        <f>IF('Données projet'!$A$218&gt;35,FE91+FD92-FM91,IF(A92&lt;'Données projet'!$A$218,$FB$205^A92,IF(A92='Données projet'!$A$218,'Données projet'!$B$218,FE91+FD92-FM91)))</f>
        <v>204.19999999999987</v>
      </c>
      <c r="FF92" s="18">
        <f>FE92*VLOOKUP('Données projet'!$B$16,Paramètres!$A$1:$I$89,3,0)*VLOOKUP('Données projet'!$B$16,Paramètres!$A$1:$I$89,5,0)</f>
        <v>133.79183999999992</v>
      </c>
      <c r="FG92" s="14">
        <f t="shared" si="101"/>
        <v>34.871070736705384</v>
      </c>
      <c r="FH92" s="22">
        <f t="shared" si="76"/>
        <v>293.75456953309504</v>
      </c>
      <c r="FI92" s="62">
        <f t="shared" si="77"/>
        <v>563.955396040187</v>
      </c>
      <c r="FJ92" s="62">
        <f ca="1">AVERAGE(OFFSET($FI$3,0,0,'Données projet'!$E$16+1,1))-AVERAGE(OFFSET($H$3,0,0,'Données projet'!$E$16+1,1))</f>
        <v>248.75689726928428</v>
      </c>
      <c r="FK92" s="62">
        <f t="shared" si="102"/>
        <v>232.02291680388336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projet'!$B$16,Paramètres!$A$1:$I$89,3,0)*0.475*44/12</f>
        <v>0</v>
      </c>
      <c r="FR92" s="23">
        <f>EXP(-LN(2)/25)*FR91+(1-EXP(-LN(2)/25))/(LN(2)/25)*Calculateur!FM92*Calculateur!FO92*VLOOKUP('Données projet'!$B$16,Paramètres!$A$1:$I$89,3,0)*0.475*44/12</f>
        <v>0</v>
      </c>
      <c r="FS92" s="23">
        <f>EXP(-LN(2)/2)*FS91+(1-EXP(-LN(2)/2))/(LN(2)/2)*FM92*FP92*VLOOKUP('Données projet'!$B$16,Paramètres!$A$1:$I$89,3,0)*0.475*44/12</f>
        <v>0</v>
      </c>
      <c r="FT92" s="24">
        <f t="shared" si="78"/>
        <v>0</v>
      </c>
      <c r="FU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63.691134501934179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9.8461538461538467</v>
      </c>
      <c r="FZ92" s="13">
        <f>IF('Données projet'!$A$244&gt;35,FZ91+FY92-GH91,IF(A92&lt;'Données projet'!$A$244,$FW$205^A92,IF(A92='Données projet'!$A$244,'Données projet'!$B$244,FZ91+FY92-GH91)))</f>
        <v>374.30769230769278</v>
      </c>
      <c r="GA92" s="18">
        <f>FZ92*VLOOKUP('Données projet'!$B$17,Paramètres!$A$1:$I$89,3,0)*VLOOKUP('Données projet'!$B$17,Paramètres!$A$1:$I$89,5,0)</f>
        <v>223.8360000000003</v>
      </c>
      <c r="GB92" s="14">
        <f t="shared" si="103"/>
        <v>54.947780735524987</v>
      </c>
      <c r="GC92" s="22">
        <f t="shared" si="79"/>
        <v>485.54841811437319</v>
      </c>
      <c r="GD92" s="62">
        <f t="shared" si="80"/>
        <v>755.74924462146521</v>
      </c>
      <c r="GE92" s="62">
        <f ca="1">AVERAGE(OFFSET($GD$3,0,0,'Données projet'!$E$17+1,1))-AVERAGE(OFFSET($H$3,0,0,'Données projet'!$E$17+1,1))</f>
        <v>315.909549580511</v>
      </c>
      <c r="GF92" s="62">
        <f t="shared" si="104"/>
        <v>208.56856525402051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projet'!$B$17,Paramètres!$A$1:$I$89,3,0)*0.475*44/12</f>
        <v>0</v>
      </c>
      <c r="GM92" s="23">
        <f>EXP(-LN(2)/25)*GM91+(1-EXP(-LN(2)/25))/(LN(2)/25)*Calculateur!GH92*Calculateur!GJ92*VLOOKUP('Données projet'!$B$17,Paramètres!$A$1:$I$89,3,0)*0.475*44/12</f>
        <v>0</v>
      </c>
      <c r="GN92" s="23">
        <f>EXP(-LN(2)/2)*GN91+(1-EXP(-LN(2)/2))/(LN(2)/2)*GH92*GK92*VLOOKUP('Données projet'!$B$17,Paramètres!$A$1:$I$89,3,0)*0.475*44/12</f>
        <v>0</v>
      </c>
      <c r="GO92" s="23">
        <f t="shared" si="81"/>
        <v>0</v>
      </c>
      <c r="GP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63.691134501934179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2.8205128205128234</v>
      </c>
      <c r="GU92" s="13">
        <f>IF('Données projet'!$A$270&gt;35,GU91+GT92-HC91,IF(A92&lt;'Données projet'!$A$270,$GR$205^A92,IF(A92='Données projet'!$A$270,'Données projet'!$B$270,GU91+GT92-HC91)))</f>
        <v>182.43589743589754</v>
      </c>
      <c r="GV92" s="18">
        <f>GU92*VLOOKUP('Données projet'!$B$18,Paramètres!$A$1:$I$89,3,0)*VLOOKUP('Données projet'!$B$18,Paramètres!$A$1:$I$89,5,0)</f>
        <v>122.37800000000007</v>
      </c>
      <c r="GW92" s="14">
        <f t="shared" si="105"/>
        <v>32.228993740505558</v>
      </c>
      <c r="GX92" s="22">
        <f t="shared" si="82"/>
        <v>269.2738474313806</v>
      </c>
      <c r="GY92" s="62">
        <f t="shared" si="83"/>
        <v>539.47467393847262</v>
      </c>
      <c r="GZ92" s="62">
        <f ca="1">AVERAGE(OFFSET($GY$3,0,0,'Données projet'!$E$18+1,1))-AVERAGE(OFFSET($H$3,0,0,'Données projet'!$E$18+1,1))</f>
        <v>254.35742752782755</v>
      </c>
      <c r="HA92" s="62">
        <f t="shared" si="106"/>
        <v>171.79611712137395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>
        <f>EXP(-LN(2)/35)*HG91+(1-EXP(-LN(2)/35))/(LN(2)/35)*HC92*HD92*VLOOKUP('Données projet'!$B$18,Paramètres!$A$1:$I$89,3,0)*0.475*44/12</f>
        <v>0</v>
      </c>
      <c r="HH92" s="23">
        <f>EXP(-LN(2)/25)*HH91+(1-EXP(-LN(2)/25))/(LN(2)/25)*Calculateur!HC92*Calculateur!HE92*VLOOKUP('Données projet'!$B$18,Paramètres!$A$1:$I$89,3,0)*0.475*44/12</f>
        <v>0</v>
      </c>
      <c r="HI92" s="23">
        <f>EXP(-LN(2)/2)*HI91+(1-EXP(-LN(2)/2))/(LN(2)/2)*HC92*HF92*VLOOKUP('Données projet'!$B$18,Paramètres!$A$1:$I$89,3,0)*0.475*44/12</f>
        <v>0</v>
      </c>
      <c r="HJ92" s="24">
        <f t="shared" si="84"/>
        <v>0</v>
      </c>
    </row>
    <row r="93" spans="1:218" s="5" customFormat="1" x14ac:dyDescent="0.3">
      <c r="A93" s="11">
        <f t="shared" si="85"/>
        <v>90</v>
      </c>
      <c r="B93" s="76">
        <f>'Scénario référence'!$B$16*5+'Scénario référence'!$B$17*0+'Scénario référence'!$B$18*5</f>
        <v>3.9405000000000001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14.448500000000001</v>
      </c>
      <c r="H93" s="69">
        <f t="shared" si="56"/>
        <v>161.30656666666667</v>
      </c>
      <c r="I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63.800579213815382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210.54472399593521</v>
      </c>
      <c r="T93" s="62">
        <f t="shared" si="88"/>
        <v>181.14158435194193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63.800579213815382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304.89999999999998</v>
      </c>
      <c r="AG93" s="13">
        <f>VLOOKUP(A93,'Données projet'!$A$61:$I$81,9,0)</f>
        <v>1.5399999999999978</v>
      </c>
      <c r="AH93" s="13">
        <f t="array" ref="AH93">INDEX(AG:AG,MIN(IF(ISNUMBER(AG93:AG289),ROW(AG93:AG289),"")))</f>
        <v>1.5399999999999978</v>
      </c>
      <c r="AI93" s="14">
        <f>IF('Données projet'!$A$62&gt;35,AI92+AH93-AQ92,IF(A93&lt;'Données projet'!$A$62,$AF$205^A93,IF(A93='Données projet'!$A$62,'Données projet'!$B$62,AI92+AH93-AQ92)))</f>
        <v>304.89999999999975</v>
      </c>
      <c r="AJ93" s="14">
        <f>AI93*VLOOKUP('Données projet'!$B$10,Paramètres!$A$1:$I$89,3,0)*VLOOKUP('Données projet'!$B$10,Paramètres!$A$1:$I$89,5,0)</f>
        <v>158.54799999999989</v>
      </c>
      <c r="AK93" s="14">
        <f t="shared" si="89"/>
        <v>40.514839191262929</v>
      </c>
      <c r="AL93" s="22">
        <f t="shared" si="58"/>
        <v>346.70111159144943</v>
      </c>
      <c r="AM93" s="62">
        <f t="shared" si="59"/>
        <v>617.30323537543916</v>
      </c>
      <c r="AN93" s="62">
        <f ca="1">AVERAGE(OFFSET($AM$3,0,0,'Données projet'!$E$10+1,1))-AVERAGE(OFFSET($H$3,0,0,'Données projet'!$E$10+1,1))</f>
        <v>289.05608923588198</v>
      </c>
      <c r="AO93" s="62">
        <f t="shared" si="90"/>
        <v>220.06639020312738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63.800579213815382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106.40833333333333</v>
      </c>
      <c r="BB93" s="13">
        <f>VLOOKUP(A93,'Données projet'!$A$87:$I$107,9,0)</f>
        <v>1.5429166666666674</v>
      </c>
      <c r="BC93" s="13">
        <f t="array" ref="BC93">INDEX(BB:BB,MIN(IF(ISNUMBER(BB93:BB289),ROW(BB93:BB289),"")))</f>
        <v>1.5429166666666674</v>
      </c>
      <c r="BD93" s="13">
        <f>IF('Données projet'!$A$88&gt;35,BD92+BC93-BL92,IF(A93&lt;'Données projet'!$A$88,$BA$205^A93,IF(A93='Données projet'!$A$88,'Données projet'!$B$88,BD92+BC93-BL92)))</f>
        <v>106.4083333333333</v>
      </c>
      <c r="BE93" s="14">
        <f>BD93*VLOOKUP('Données projet'!$B$11,Paramètres!$A$1:$I$89,3,0)*VLOOKUP('Données projet'!$B$11,Paramètres!$A$1:$I$89,5,0)</f>
        <v>122.58239999999996</v>
      </c>
      <c r="BF93" s="14">
        <f t="shared" si="91"/>
        <v>32.276553297525268</v>
      </c>
      <c r="BG93" s="22">
        <f t="shared" si="61"/>
        <v>269.7126769931898</v>
      </c>
      <c r="BH93" s="62">
        <f t="shared" si="62"/>
        <v>540.31480077717947</v>
      </c>
      <c r="BI93" s="62">
        <f ca="1">AVERAGE(OFFSET($BH$3,0,0,'Données projet'!$E$11+1,1))-AVERAGE(OFFSET($H$3,0,0,'Données projet'!$E$11+1,1))</f>
        <v>299.54950406029354</v>
      </c>
      <c r="BJ93" s="62">
        <f t="shared" si="92"/>
        <v>208.26364698165739</v>
      </c>
      <c r="BK93" s="16">
        <f>IF(ISNA(VLOOKUP(A93,'Données projet'!$A$87:$I$107,3,0)),0,VLOOKUP(A93,'Données projet'!$A$87:$I$107,3,0))</f>
        <v>7</v>
      </c>
      <c r="BL93" s="16">
        <f>IF(ISNA(VLOOKUP(A93,'Données projet'!$A$87:$I$107,4,0)),0,VLOOKUP(A93,'Données projet'!$A$87:$I$107,4,0))</f>
        <v>9.1666666666666679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63.800579213815382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222.43589743589743</v>
      </c>
      <c r="BW93" s="13">
        <f>VLOOKUP(A93,'Données projet'!$A$113:$I$133,9,0)</f>
        <v>2.9487179487179502</v>
      </c>
      <c r="BX93" s="13">
        <f t="array" ref="BX93">INDEX(BW:BW,MIN(IF(ISNUMBER(BW93:BW289),ROW(BW93:BW289),"")))</f>
        <v>2.9487179487179502</v>
      </c>
      <c r="BY93" s="13">
        <f>IF('Données projet'!$A$114&gt;35,BY92+BX93-CG92,IF(A93&lt;'Données projet'!$A$114,$BV$205^A93,IF(A93='Données projet'!$A$114,'Données projet'!$B$114,BY92+BX93-CG92)))</f>
        <v>222.43589743589735</v>
      </c>
      <c r="BZ93" s="14">
        <f>BY93*VLOOKUP('Données projet'!$B$12,Paramètres!$A$1:$I$89,3,0)*VLOOKUP('Données projet'!$B$12,Paramètres!$A$1:$I$89,5,0)</f>
        <v>239.42999999999992</v>
      </c>
      <c r="CA93" s="14">
        <f t="shared" si="93"/>
        <v>58.316875238844261</v>
      </c>
      <c r="CB93" s="22">
        <f t="shared" si="64"/>
        <v>518.57580770765355</v>
      </c>
      <c r="CC93" s="62">
        <f t="shared" si="65"/>
        <v>789.17793149164322</v>
      </c>
      <c r="CD93" s="62">
        <f ca="1">AVERAGE(OFFSET($CC$3,0,0,'Données projet'!$E$12+1,1))-AVERAGE(OFFSET($H$3,0,0,'Données projet'!$E$12+1,1))</f>
        <v>441.30518831297212</v>
      </c>
      <c r="CE93" s="62">
        <f t="shared" si="94"/>
        <v>270.42872405271851</v>
      </c>
      <c r="CF93" s="16">
        <f>IF(ISNA(VLOOKUP(A93,'Données projet'!$A$113:$I$133,3,0)),0,VLOOKUP(A93,'Données projet'!$A$113:$I$133,3,0))</f>
        <v>7</v>
      </c>
      <c r="CG93" s="16">
        <f>IF(ISNA(VLOOKUP(A93,'Données projet'!$A$113:$I$133,4,0)),0,VLOOKUP(A93,'Données projet'!$A$113:$I$133,4,0))</f>
        <v>16.666666666666668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63.800579213815382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-1.1368683772161603E-13</v>
      </c>
      <c r="CU93" s="18">
        <f>CT93*VLOOKUP('Données projet'!$B$13,Paramètres!$A$1:$I$89,3,0)*VLOOKUP('Données projet'!$B$13,Paramètres!$A$1:$I$89,5,0)</f>
        <v>-9.9316821433603781E-14</v>
      </c>
      <c r="CV93" s="14" t="e">
        <f t="shared" si="95"/>
        <v>#NUM!</v>
      </c>
      <c r="CW93" s="22" t="e">
        <f t="shared" si="67"/>
        <v>#NUM!</v>
      </c>
      <c r="CX93" s="62" t="e">
        <f t="shared" si="68"/>
        <v>#NUM!</v>
      </c>
      <c r="CY93" s="62">
        <f ca="1">AVERAGE(OFFSET($CX$3,0,0,'Données projet'!$E$13+1,1))-AVERAGE(OFFSET($H$3,0,0,'Données projet'!$E$13+1,1))</f>
        <v>310.81258463659196</v>
      </c>
      <c r="CZ93" s="62">
        <f t="shared" si="96"/>
        <v>287.31099756692083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63.800579213815382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222.43589743589743</v>
      </c>
      <c r="DM93" s="13">
        <f>VLOOKUP(A93,'Données projet'!$A$165:$I$185,9,0)</f>
        <v>2.9487179487179502</v>
      </c>
      <c r="DN93" s="13">
        <f t="array" ref="DN93">INDEX(DM:DM,MIN(IF(ISNUMBER(DM93:DM289),ROW(DM93:DM289),"")))</f>
        <v>2.9487179487179502</v>
      </c>
      <c r="DO93" s="13">
        <f>IF('Données projet'!$A$166&gt;35,DO92+DN93-DW92,IF(A93&lt;'Données projet'!$A$166,$DL$205^A93,IF(A93='Données projet'!$A$166,'Données projet'!$B$166,DO92+DN93-DW92)))</f>
        <v>222.43589743589735</v>
      </c>
      <c r="DP93" s="18">
        <f>DO93*VLOOKUP('Données projet'!$B$14,Paramètres!$A$1:$I$89,3,0)*VLOOKUP('Données projet'!$B$14,Paramètres!$A$1:$I$89,5,0)</f>
        <v>232.48999999999995</v>
      </c>
      <c r="DQ93" s="14">
        <f t="shared" si="97"/>
        <v>56.820739874502536</v>
      </c>
      <c r="DR93" s="22">
        <f t="shared" si="70"/>
        <v>503.8828719480918</v>
      </c>
      <c r="DS93" s="62">
        <f t="shared" si="71"/>
        <v>774.48499573208153</v>
      </c>
      <c r="DT93" s="62">
        <f ca="1">AVERAGE(OFFSET($DS$3,0,0,'Données projet'!$E$14+1,1))-AVERAGE(OFFSET($H$3,0,0,'Données projet'!$E$14+1,1))</f>
        <v>431.19274104373625</v>
      </c>
      <c r="DU93" s="62">
        <f t="shared" si="98"/>
        <v>264.67919175178133</v>
      </c>
      <c r="DV93" s="16">
        <f>IF(ISNA(VLOOKUP(A93,'Données projet'!$A$165:$I$185,3,0)),0,VLOOKUP(A93,'Données projet'!$A$165:$I$185,3,0))</f>
        <v>7</v>
      </c>
      <c r="DW93" s="16">
        <f>IF(ISNA(VLOOKUP(A93,'Données projet'!$A$165:$I$185,4,0)),0,VLOOKUP(A93,'Données projet'!$A$165:$I$185,4,0))</f>
        <v>16.666666666666668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63.800579213815382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8.1205128205128201</v>
      </c>
      <c r="EJ93" s="13">
        <f>IF('Données projet'!$A$192&gt;35,EJ92+EI93-ER92,IF(A93&lt;'Données projet'!$A$192,$EG$205^A93,IF(A93='Données projet'!$A$192,'Données projet'!$B$192,EJ92+EI93-ER92)))</f>
        <v>324.56153846153796</v>
      </c>
      <c r="EK93" s="18">
        <f>EJ93*VLOOKUP('Données projet'!$B$15,Paramètres!$A$1:$I$89,3,0)*VLOOKUP('Données projet'!$B$15,Paramètres!$A$1:$I$89,5,0)</f>
        <v>151.89479999999978</v>
      </c>
      <c r="EL93" s="14">
        <f t="shared" si="99"/>
        <v>39.008870628729497</v>
      </c>
      <c r="EM93" s="22">
        <f t="shared" si="73"/>
        <v>332.49055967837018</v>
      </c>
      <c r="EN93" s="62">
        <f t="shared" si="74"/>
        <v>603.0926834623599</v>
      </c>
      <c r="EO93" s="62">
        <f ca="1">AVERAGE(OFFSET($EN$3,0,0,'Données projet'!$E$15+1,1))-AVERAGE(OFFSET($H$3,0,0,'Données projet'!$E$15+1,1))</f>
        <v>291.68530745507815</v>
      </c>
      <c r="EP93" s="62">
        <f t="shared" si="100"/>
        <v>175.95121106728979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0</v>
      </c>
      <c r="EZ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63.800579213815382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>
        <f>VLOOKUP(A93,'Données projet'!$A$217:$I$237,2,0)</f>
        <v>207</v>
      </c>
      <c r="FC93" s="13">
        <f>VLOOKUP(A93,'Données projet'!$A$217:$I$237,9,0)</f>
        <v>2.8</v>
      </c>
      <c r="FD93" s="13">
        <f t="array" ref="FD93">INDEX(FC:FC,MIN(IF(ISNUMBER(FC93:FC289),ROW(FC93:FC289),"")))</f>
        <v>2.8</v>
      </c>
      <c r="FE93" s="13">
        <f>IF('Données projet'!$A$218&gt;35,FE92+FD93-FM92,IF(A93&lt;'Données projet'!$A$218,$FB$205^A93,IF(A93='Données projet'!$A$218,'Données projet'!$B$218,FE92+FD93-FM92)))</f>
        <v>206.99999999999989</v>
      </c>
      <c r="FF93" s="18">
        <f>FE93*VLOOKUP('Données projet'!$B$16,Paramètres!$A$1:$I$89,3,0)*VLOOKUP('Données projet'!$B$16,Paramètres!$A$1:$I$89,5,0)</f>
        <v>135.62639999999993</v>
      </c>
      <c r="FG93" s="14">
        <f t="shared" si="101"/>
        <v>35.293231938598453</v>
      </c>
      <c r="FH93" s="22">
        <f t="shared" si="76"/>
        <v>297.68502562639225</v>
      </c>
      <c r="FI93" s="62">
        <f t="shared" si="77"/>
        <v>568.28714941038197</v>
      </c>
      <c r="FJ93" s="62">
        <f ca="1">AVERAGE(OFFSET($FI$3,0,0,'Données projet'!$E$16+1,1))-AVERAGE(OFFSET($H$3,0,0,'Données projet'!$E$16+1,1))</f>
        <v>248.75689726928428</v>
      </c>
      <c r="FK93" s="62">
        <f t="shared" si="102"/>
        <v>232.02291680388336</v>
      </c>
      <c r="FL93" s="16">
        <f>IF(ISNA(VLOOKUP(A93,'Données projet'!$A$217:$I$237,3,0)),0,VLOOKUP(A93,'Données projet'!$A$217:$I$237,3,0))</f>
        <v>7</v>
      </c>
      <c r="FM93" s="16">
        <f>IF(ISNA(VLOOKUP(A93,'Données projet'!$A$217:$I$237,4,0)),0,VLOOKUP(A93,'Données projet'!$A$217:$I$237,4,0))</f>
        <v>207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projet'!$B$16,Paramètres!$A$1:$I$89,3,0)*0.475*44/12</f>
        <v>0</v>
      </c>
      <c r="FR93" s="23">
        <f>EXP(-LN(2)/25)*FR92+(1-EXP(-LN(2)/25))/(LN(2)/25)*Calculateur!FM93*Calculateur!FO93*VLOOKUP('Données projet'!$B$16,Paramètres!$A$1:$I$89,3,0)*0.475*44/12</f>
        <v>0</v>
      </c>
      <c r="FS93" s="23">
        <f>EXP(-LN(2)/2)*FS92+(1-EXP(-LN(2)/2))/(LN(2)/2)*FM93*FP93*VLOOKUP('Données projet'!$B$16,Paramètres!$A$1:$I$89,3,0)*0.475*44/12</f>
        <v>0</v>
      </c>
      <c r="FT93" s="24">
        <f t="shared" si="78"/>
        <v>0</v>
      </c>
      <c r="FU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63.800579213815382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9.8461538461538467</v>
      </c>
      <c r="FZ93" s="13">
        <f>IF('Données projet'!$A$244&gt;35,FZ92+FY93-GH92,IF(A93&lt;'Données projet'!$A$244,$FW$205^A93,IF(A93='Données projet'!$A$244,'Données projet'!$B$244,FZ92+FY93-GH92)))</f>
        <v>384.15384615384664</v>
      </c>
      <c r="GA93" s="18">
        <f>FZ93*VLOOKUP('Données projet'!$B$17,Paramètres!$A$1:$I$89,3,0)*VLOOKUP('Données projet'!$B$17,Paramètres!$A$1:$I$89,5,0)</f>
        <v>229.72400000000033</v>
      </c>
      <c r="GB93" s="14">
        <f t="shared" si="103"/>
        <v>56.222999708510343</v>
      </c>
      <c r="GC93" s="22">
        <f t="shared" si="79"/>
        <v>498.02435782565607</v>
      </c>
      <c r="GD93" s="62">
        <f t="shared" si="80"/>
        <v>768.62648160964579</v>
      </c>
      <c r="GE93" s="62">
        <f ca="1">AVERAGE(OFFSET($GD$3,0,0,'Données projet'!$E$17+1,1))-AVERAGE(OFFSET($H$3,0,0,'Données projet'!$E$17+1,1))</f>
        <v>315.909549580511</v>
      </c>
      <c r="GF93" s="62">
        <f t="shared" si="104"/>
        <v>208.56856525402051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projet'!$B$17,Paramètres!$A$1:$I$89,3,0)*0.475*44/12</f>
        <v>0</v>
      </c>
      <c r="GM93" s="23">
        <f>EXP(-LN(2)/25)*GM92+(1-EXP(-LN(2)/25))/(LN(2)/25)*Calculateur!GH93*Calculateur!GJ93*VLOOKUP('Données projet'!$B$17,Paramètres!$A$1:$I$89,3,0)*0.475*44/12</f>
        <v>0</v>
      </c>
      <c r="GN93" s="23">
        <f>EXP(-LN(2)/2)*GN92+(1-EXP(-LN(2)/2))/(LN(2)/2)*GH93*GK93*VLOOKUP('Données projet'!$B$17,Paramètres!$A$1:$I$89,3,0)*0.475*44/12</f>
        <v>0</v>
      </c>
      <c r="GO93" s="23">
        <f t="shared" si="81"/>
        <v>0</v>
      </c>
      <c r="GP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63.800579213815382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>
        <f>VLOOKUP(A93,'Données projet'!$A$269:$I$289,2,0)</f>
        <v>185.25641025641025</v>
      </c>
      <c r="GS93" s="13">
        <f>VLOOKUP(A93,'Données projet'!$A$269:$I$289,9,0)</f>
        <v>2.8205128205128234</v>
      </c>
      <c r="GT93" s="13">
        <f t="array" ref="GT93">INDEX(GS:GS,MIN(IF(ISNUMBER(GS93:GS289),ROW(GS93:GS289),"")))</f>
        <v>2.8205128205128234</v>
      </c>
      <c r="GU93" s="13">
        <f>IF('Données projet'!$A$270&gt;35,GU92+GT93-HC92,IF(A93&lt;'Données projet'!$A$270,$GR$205^A93,IF(A93='Données projet'!$A$270,'Données projet'!$B$270,GU92+GT93-HC92)))</f>
        <v>185.25641025641036</v>
      </c>
      <c r="GV93" s="18">
        <f>GU93*VLOOKUP('Données projet'!$B$18,Paramètres!$A$1:$I$89,3,0)*VLOOKUP('Données projet'!$B$18,Paramètres!$A$1:$I$89,5,0)</f>
        <v>124.27000000000007</v>
      </c>
      <c r="GW93" s="14">
        <f t="shared" si="105"/>
        <v>32.668871006084437</v>
      </c>
      <c r="GX93" s="22">
        <f t="shared" si="82"/>
        <v>273.33520033559716</v>
      </c>
      <c r="GY93" s="62">
        <f t="shared" si="83"/>
        <v>543.93732411958695</v>
      </c>
      <c r="GZ93" s="62">
        <f ca="1">AVERAGE(OFFSET($GY$3,0,0,'Données projet'!$E$18+1,1))-AVERAGE(OFFSET($H$3,0,0,'Données projet'!$E$18+1,1))</f>
        <v>254.35742752782755</v>
      </c>
      <c r="HA93" s="62">
        <f t="shared" si="106"/>
        <v>171.79611712137395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>
        <f>EXP(-LN(2)/35)*HG92+(1-EXP(-LN(2)/35))/(LN(2)/35)*HC93*HD93*VLOOKUP('Données projet'!$B$18,Paramètres!$A$1:$I$89,3,0)*0.475*44/12</f>
        <v>0</v>
      </c>
      <c r="HH93" s="23">
        <f>EXP(-LN(2)/25)*HH92+(1-EXP(-LN(2)/25))/(LN(2)/25)*Calculateur!HC93*Calculateur!HE93*VLOOKUP('Données projet'!$B$18,Paramètres!$A$1:$I$89,3,0)*0.475*44/12</f>
        <v>0</v>
      </c>
      <c r="HI93" s="23">
        <f>EXP(-LN(2)/2)*HI92+(1-EXP(-LN(2)/2))/(LN(2)/2)*HC93*HF93*VLOOKUP('Données projet'!$B$18,Paramètres!$A$1:$I$89,3,0)*0.475*44/12</f>
        <v>0</v>
      </c>
      <c r="HJ93" s="24">
        <f t="shared" si="84"/>
        <v>0</v>
      </c>
    </row>
    <row r="94" spans="1:218" s="5" customFormat="1" x14ac:dyDescent="0.3">
      <c r="A94" s="11">
        <f t="shared" si="85"/>
        <v>91</v>
      </c>
      <c r="B94" s="76">
        <f>'Scénario référence'!$B$16*5+'Scénario référence'!$B$17*0+'Scénario référence'!$B$18*5</f>
        <v>3.9405000000000001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14.448500000000001</v>
      </c>
      <c r="H94" s="69">
        <f t="shared" si="56"/>
        <v>161.30656666666667</v>
      </c>
      <c r="I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63.908125304627156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210.54472399593521</v>
      </c>
      <c r="T94" s="62">
        <f t="shared" si="88"/>
        <v>181.14158435194193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63.908125304627156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1.2800000000000069</v>
      </c>
      <c r="AI94" s="14">
        <f>IF('Données projet'!$A$62&gt;35,AI93+AH94-AQ93,IF(A94&lt;'Données projet'!$A$62,$AF$205^A94,IF(A94='Données projet'!$A$62,'Données projet'!$B$62,AI93+AH94-AQ93)))</f>
        <v>306.17999999999978</v>
      </c>
      <c r="AJ94" s="14">
        <f>AI94*VLOOKUP('Données projet'!$B$10,Paramètres!$A$1:$I$89,3,0)*VLOOKUP('Données projet'!$B$10,Paramètres!$A$1:$I$89,5,0)</f>
        <v>159.2135999999999</v>
      </c>
      <c r="AK94" s="14">
        <f t="shared" si="89"/>
        <v>40.665089859977073</v>
      </c>
      <c r="AL94" s="22">
        <f t="shared" si="58"/>
        <v>348.12205150612658</v>
      </c>
      <c r="AM94" s="62">
        <f t="shared" si="59"/>
        <v>619.11851095642623</v>
      </c>
      <c r="AN94" s="62">
        <f ca="1">AVERAGE(OFFSET($AM$3,0,0,'Données projet'!$E$10+1,1))-AVERAGE(OFFSET($H$3,0,0,'Données projet'!$E$10+1,1))</f>
        <v>289.05608923588198</v>
      </c>
      <c r="AO94" s="62">
        <f t="shared" si="90"/>
        <v>220.06639020312738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63.908125304627156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1.4583333333333344</v>
      </c>
      <c r="BD94" s="13">
        <f>IF('Données projet'!$A$88&gt;35,BD93+BC94-BL93,IF(A94&lt;'Données projet'!$A$88,$BA$205^A94,IF(A94='Données projet'!$A$88,'Données projet'!$B$88,BD93+BC94-BL93)))</f>
        <v>98.69999999999996</v>
      </c>
      <c r="BE94" s="14">
        <f>BD94*VLOOKUP('Données projet'!$B$11,Paramètres!$A$1:$I$89,3,0)*VLOOKUP('Données projet'!$B$11,Paramètres!$A$1:$I$89,5,0)</f>
        <v>113.70239999999994</v>
      </c>
      <c r="BF94" s="14">
        <f t="shared" si="91"/>
        <v>30.20161113802142</v>
      </c>
      <c r="BG94" s="22">
        <f t="shared" si="61"/>
        <v>250.6328193987205</v>
      </c>
      <c r="BH94" s="62">
        <f t="shared" si="62"/>
        <v>521.62927884902012</v>
      </c>
      <c r="BI94" s="62">
        <f ca="1">AVERAGE(OFFSET($BH$3,0,0,'Données projet'!$E$11+1,1))-AVERAGE(OFFSET($H$3,0,0,'Données projet'!$E$11+1,1))</f>
        <v>299.54950406029354</v>
      </c>
      <c r="BJ94" s="62">
        <f t="shared" si="92"/>
        <v>208.26364698165739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63.908125304627156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2.9487179487179445</v>
      </c>
      <c r="BY94" s="13">
        <f>IF('Données projet'!$A$114&gt;35,BY93+BX94-CG93,IF(A94&lt;'Données projet'!$A$114,$BV$205^A94,IF(A94='Données projet'!$A$114,'Données projet'!$B$114,BY93+BX94-CG93)))</f>
        <v>208.71794871794864</v>
      </c>
      <c r="BZ94" s="14">
        <f>BY94*VLOOKUP('Données projet'!$B$12,Paramètres!$A$1:$I$89,3,0)*VLOOKUP('Données projet'!$B$12,Paramètres!$A$1:$I$89,5,0)</f>
        <v>224.66399999999993</v>
      </c>
      <c r="CA94" s="14">
        <f t="shared" si="93"/>
        <v>55.127342094465867</v>
      </c>
      <c r="CB94" s="22">
        <f t="shared" si="64"/>
        <v>487.30325414786125</v>
      </c>
      <c r="CC94" s="62">
        <f t="shared" si="65"/>
        <v>758.29971359816091</v>
      </c>
      <c r="CD94" s="62">
        <f ca="1">AVERAGE(OFFSET($CC$3,0,0,'Données projet'!$E$12+1,1))-AVERAGE(OFFSET($H$3,0,0,'Données projet'!$E$12+1,1))</f>
        <v>441.30518831297212</v>
      </c>
      <c r="CE94" s="62">
        <f t="shared" si="94"/>
        <v>270.42872405271851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63.908125304627156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-1.1368683772161603E-13</v>
      </c>
      <c r="CU94" s="18">
        <f>CT94*VLOOKUP('Données projet'!$B$13,Paramètres!$A$1:$I$89,3,0)*VLOOKUP('Données projet'!$B$13,Paramètres!$A$1:$I$89,5,0)</f>
        <v>-9.9316821433603781E-14</v>
      </c>
      <c r="CV94" s="14" t="e">
        <f t="shared" si="95"/>
        <v>#NUM!</v>
      </c>
      <c r="CW94" s="22" t="e">
        <f t="shared" si="67"/>
        <v>#NUM!</v>
      </c>
      <c r="CX94" s="62" t="e">
        <f t="shared" si="68"/>
        <v>#NUM!</v>
      </c>
      <c r="CY94" s="62">
        <f ca="1">AVERAGE(OFFSET($CX$3,0,0,'Données projet'!$E$13+1,1))-AVERAGE(OFFSET($H$3,0,0,'Données projet'!$E$13+1,1))</f>
        <v>310.81258463659196</v>
      </c>
      <c r="CZ94" s="62">
        <f t="shared" si="96"/>
        <v>287.31099756692083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63.908125304627156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2.9487179487179445</v>
      </c>
      <c r="DO94" s="13">
        <f>IF('Données projet'!$A$166&gt;35,DO93+DN94-DW93,IF(A94&lt;'Données projet'!$A$166,$DL$205^A94,IF(A94='Données projet'!$A$166,'Données projet'!$B$166,DO93+DN94-DW93)))</f>
        <v>208.71794871794864</v>
      </c>
      <c r="DP94" s="18">
        <f>DO94*VLOOKUP('Données projet'!$B$14,Paramètres!$A$1:$I$89,3,0)*VLOOKUP('Données projet'!$B$14,Paramètres!$A$1:$I$89,5,0)</f>
        <v>218.15199999999993</v>
      </c>
      <c r="DQ94" s="14">
        <f t="shared" si="97"/>
        <v>53.713035074209799</v>
      </c>
      <c r="DR94" s="22">
        <f t="shared" si="70"/>
        <v>473.49826942091528</v>
      </c>
      <c r="DS94" s="62">
        <f t="shared" si="71"/>
        <v>744.49472887121487</v>
      </c>
      <c r="DT94" s="62">
        <f ca="1">AVERAGE(OFFSET($DS$3,0,0,'Données projet'!$E$14+1,1))-AVERAGE(OFFSET($H$3,0,0,'Données projet'!$E$14+1,1))</f>
        <v>431.19274104373625</v>
      </c>
      <c r="DU94" s="62">
        <f t="shared" si="98"/>
        <v>264.67919175178133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63.908125304627156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8.1205128205128201</v>
      </c>
      <c r="EJ94" s="13">
        <f>IF('Données projet'!$A$192&gt;35,EJ93+EI94-ER93,IF(A94&lt;'Données projet'!$A$192,$EG$205^A94,IF(A94='Données projet'!$A$192,'Données projet'!$B$192,EJ93+EI94-ER93)))</f>
        <v>332.68205128205079</v>
      </c>
      <c r="EK94" s="18">
        <f>EJ94*VLOOKUP('Données projet'!$B$15,Paramètres!$A$1:$I$89,3,0)*VLOOKUP('Données projet'!$B$15,Paramètres!$A$1:$I$89,5,0)</f>
        <v>155.69519999999977</v>
      </c>
      <c r="EL94" s="14">
        <f t="shared" si="99"/>
        <v>39.870019909996607</v>
      </c>
      <c r="EM94" s="22">
        <f t="shared" si="73"/>
        <v>340.60942467657702</v>
      </c>
      <c r="EN94" s="62">
        <f t="shared" si="74"/>
        <v>611.60588412687662</v>
      </c>
      <c r="EO94" s="62">
        <f ca="1">AVERAGE(OFFSET($EN$3,0,0,'Données projet'!$E$15+1,1))-AVERAGE(OFFSET($H$3,0,0,'Données projet'!$E$15+1,1))</f>
        <v>291.68530745507815</v>
      </c>
      <c r="EP94" s="62">
        <f t="shared" si="100"/>
        <v>175.95121106728979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0</v>
      </c>
      <c r="EZ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63.908125304627156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-1.1368683772161603E-13</v>
      </c>
      <c r="FF94" s="18">
        <f>FE94*VLOOKUP('Données projet'!$B$16,Paramètres!$A$1:$I$89,3,0)*VLOOKUP('Données projet'!$B$16,Paramètres!$A$1:$I$89,5,0)</f>
        <v>-7.4487616075202823E-14</v>
      </c>
      <c r="FG94" s="14" t="e">
        <f t="shared" si="101"/>
        <v>#NUM!</v>
      </c>
      <c r="FH94" s="22" t="e">
        <f t="shared" si="76"/>
        <v>#NUM!</v>
      </c>
      <c r="FI94" s="62" t="e">
        <f t="shared" si="77"/>
        <v>#NUM!</v>
      </c>
      <c r="FJ94" s="62">
        <f ca="1">AVERAGE(OFFSET($FI$3,0,0,'Données projet'!$E$16+1,1))-AVERAGE(OFFSET($H$3,0,0,'Données projet'!$E$16+1,1))</f>
        <v>248.75689726928428</v>
      </c>
      <c r="FK94" s="62">
        <f t="shared" si="102"/>
        <v>232.02291680388336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projet'!$B$16,Paramètres!$A$1:$I$89,3,0)*0.475*44/12</f>
        <v>0</v>
      </c>
      <c r="FR94" s="23">
        <f>EXP(-LN(2)/25)*FR93+(1-EXP(-LN(2)/25))/(LN(2)/25)*Calculateur!FM94*Calculateur!FO94*VLOOKUP('Données projet'!$B$16,Paramètres!$A$1:$I$89,3,0)*0.475*44/12</f>
        <v>0</v>
      </c>
      <c r="FS94" s="23">
        <f>EXP(-LN(2)/2)*FS93+(1-EXP(-LN(2)/2))/(LN(2)/2)*FM94*FP94*VLOOKUP('Données projet'!$B$16,Paramètres!$A$1:$I$89,3,0)*0.475*44/12</f>
        <v>0</v>
      </c>
      <c r="FT94" s="24">
        <f t="shared" si="78"/>
        <v>0</v>
      </c>
      <c r="FU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63.908125304627156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>
        <f>VLOOKUP(A94,'Données projet'!$A$243:$I$263,2,0)</f>
        <v>394</v>
      </c>
      <c r="FX94" s="13">
        <f>VLOOKUP(A94,'Données projet'!$A$243:$I$263,9,0)</f>
        <v>9.8461538461538467</v>
      </c>
      <c r="FY94" s="13">
        <f t="array" ref="FY94">INDEX(FX:FX,MIN(IF(ISNUMBER(FX94:FX290),ROW(FX94:FX290),"")))</f>
        <v>9.8461538461538467</v>
      </c>
      <c r="FZ94" s="13">
        <f>IF('Données projet'!$A$244&gt;35,FZ93+FY94-GH93,IF(A94&lt;'Données projet'!$A$244,$FW$205^A94,IF(A94='Données projet'!$A$244,'Données projet'!$B$244,FZ93+FY94-GH93)))</f>
        <v>394.00000000000051</v>
      </c>
      <c r="GA94" s="18">
        <f>FZ94*VLOOKUP('Données projet'!$B$17,Paramètres!$A$1:$I$89,3,0)*VLOOKUP('Données projet'!$B$17,Paramètres!$A$1:$I$89,5,0)</f>
        <v>235.61200000000031</v>
      </c>
      <c r="GB94" s="14">
        <f t="shared" si="103"/>
        <v>57.494419397561799</v>
      </c>
      <c r="GC94" s="22">
        <f t="shared" si="79"/>
        <v>510.49368045075397</v>
      </c>
      <c r="GD94" s="62">
        <f t="shared" si="80"/>
        <v>781.49013990105357</v>
      </c>
      <c r="GE94" s="62">
        <f ca="1">AVERAGE(OFFSET($GD$3,0,0,'Données projet'!$E$17+1,1))-AVERAGE(OFFSET($H$3,0,0,'Données projet'!$E$17+1,1))</f>
        <v>315.909549580511</v>
      </c>
      <c r="GF94" s="62">
        <f t="shared" si="104"/>
        <v>208.56856525402051</v>
      </c>
      <c r="GG94" s="16">
        <f>IF(ISNA(VLOOKUP(A94,'Données projet'!$A$243:$I$263,3,0)),0,VLOOKUP(A94,'Données projet'!$A$243:$I$263,3,0))</f>
        <v>7</v>
      </c>
      <c r="GH94" s="16">
        <f>IF(ISNA(VLOOKUP(A94,'Données projet'!$A$243:$I$263,4,0)),0,VLOOKUP(A94,'Données projet'!$A$243:$I$263,4,0))</f>
        <v>394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projet'!$B$17,Paramètres!$A$1:$I$89,3,0)*0.475*44/12</f>
        <v>0</v>
      </c>
      <c r="GM94" s="23">
        <f>EXP(-LN(2)/25)*GM93+(1-EXP(-LN(2)/25))/(LN(2)/25)*Calculateur!GH94*Calculateur!GJ94*VLOOKUP('Données projet'!$B$17,Paramètres!$A$1:$I$89,3,0)*0.475*44/12</f>
        <v>0</v>
      </c>
      <c r="GN94" s="23">
        <f>EXP(-LN(2)/2)*GN93+(1-EXP(-LN(2)/2))/(LN(2)/2)*GH94*GK94*VLOOKUP('Données projet'!$B$17,Paramètres!$A$1:$I$89,3,0)*0.475*44/12</f>
        <v>0</v>
      </c>
      <c r="GO94" s="23">
        <f t="shared" si="81"/>
        <v>0</v>
      </c>
      <c r="GP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63.908125304627156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2.6923076923076907</v>
      </c>
      <c r="GU94" s="13">
        <f>IF('Données projet'!$A$270&gt;35,GU93+GT94-HC93,IF(A94&lt;'Données projet'!$A$270,$GR$205^A94,IF(A94='Données projet'!$A$270,'Données projet'!$B$270,GU93+GT94-HC93)))</f>
        <v>187.94871794871804</v>
      </c>
      <c r="GV94" s="18">
        <f>GU94*VLOOKUP('Données projet'!$B$18,Paramètres!$A$1:$I$89,3,0)*VLOOKUP('Données projet'!$B$18,Paramètres!$A$1:$I$89,5,0)</f>
        <v>126.07600000000006</v>
      </c>
      <c r="GW94" s="14">
        <f t="shared" si="105"/>
        <v>33.088027082698986</v>
      </c>
      <c r="GX94" s="22">
        <f t="shared" si="82"/>
        <v>277.2106805023675</v>
      </c>
      <c r="GY94" s="62">
        <f t="shared" si="83"/>
        <v>548.20713995266715</v>
      </c>
      <c r="GZ94" s="62">
        <f ca="1">AVERAGE(OFFSET($GY$3,0,0,'Données projet'!$E$18+1,1))-AVERAGE(OFFSET($H$3,0,0,'Données projet'!$E$18+1,1))</f>
        <v>254.35742752782755</v>
      </c>
      <c r="HA94" s="62">
        <f t="shared" si="106"/>
        <v>171.79611712137395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>
        <f>EXP(-LN(2)/35)*HG93+(1-EXP(-LN(2)/35))/(LN(2)/35)*HC94*HD94*VLOOKUP('Données projet'!$B$18,Paramètres!$A$1:$I$89,3,0)*0.475*44/12</f>
        <v>0</v>
      </c>
      <c r="HH94" s="23">
        <f>EXP(-LN(2)/25)*HH93+(1-EXP(-LN(2)/25))/(LN(2)/25)*Calculateur!HC94*Calculateur!HE94*VLOOKUP('Données projet'!$B$18,Paramètres!$A$1:$I$89,3,0)*0.475*44/12</f>
        <v>0</v>
      </c>
      <c r="HI94" s="23">
        <f>EXP(-LN(2)/2)*HI93+(1-EXP(-LN(2)/2))/(LN(2)/2)*HC94*HF94*VLOOKUP('Données projet'!$B$18,Paramètres!$A$1:$I$89,3,0)*0.475*44/12</f>
        <v>0</v>
      </c>
      <c r="HJ94" s="24">
        <f t="shared" si="84"/>
        <v>0</v>
      </c>
    </row>
    <row r="95" spans="1:218" s="5" customFormat="1" x14ac:dyDescent="0.3">
      <c r="A95" s="11">
        <f t="shared" si="85"/>
        <v>92</v>
      </c>
      <c r="B95" s="76">
        <f>'Scénario référence'!$B$16*5+'Scénario référence'!$B$17*0+'Scénario référence'!$B$18*5</f>
        <v>3.9405000000000001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14.448500000000001</v>
      </c>
      <c r="H95" s="69">
        <f t="shared" si="56"/>
        <v>161.30656666666667</v>
      </c>
      <c r="I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64.013805711200391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210.54472399593521</v>
      </c>
      <c r="T95" s="62">
        <f t="shared" si="88"/>
        <v>181.14158435194193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64.013805711200391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1.2800000000000069</v>
      </c>
      <c r="AI95" s="14">
        <f>IF('Données projet'!$A$62&gt;35,AI94+AH95-AQ94,IF(A95&lt;'Données projet'!$A$62,$AF$205^A95,IF(A95='Données projet'!$A$62,'Données projet'!$B$62,AI94+AH95-AQ94)))</f>
        <v>307.45999999999981</v>
      </c>
      <c r="AJ95" s="14">
        <f>AI95*VLOOKUP('Données projet'!$B$10,Paramètres!$A$1:$I$89,3,0)*VLOOKUP('Données projet'!$B$10,Paramètres!$A$1:$I$89,5,0)</f>
        <v>159.87919999999991</v>
      </c>
      <c r="AK95" s="14">
        <f t="shared" si="89"/>
        <v>40.815267431915544</v>
      </c>
      <c r="AL95" s="22">
        <f t="shared" si="58"/>
        <v>349.54286411058609</v>
      </c>
      <c r="AM95" s="62">
        <f t="shared" si="59"/>
        <v>620.92681838498754</v>
      </c>
      <c r="AN95" s="62">
        <f ca="1">AVERAGE(OFFSET($AM$3,0,0,'Données projet'!$E$10+1,1))-AVERAGE(OFFSET($H$3,0,0,'Données projet'!$E$10+1,1))</f>
        <v>289.05608923588198</v>
      </c>
      <c r="AO95" s="62">
        <f t="shared" si="90"/>
        <v>220.06639020312738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64.013805711200391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1.4583333333333344</v>
      </c>
      <c r="BD95" s="13">
        <f>IF('Données projet'!$A$88&gt;35,BD94+BC95-BL94,IF(A95&lt;'Données projet'!$A$88,$BA$205^A95,IF(A95='Données projet'!$A$88,'Données projet'!$B$88,BD94+BC95-BL94)))</f>
        <v>100.15833333333329</v>
      </c>
      <c r="BE95" s="14">
        <f>BD95*VLOOKUP('Données projet'!$B$11,Paramètres!$A$1:$I$89,3,0)*VLOOKUP('Données projet'!$B$11,Paramètres!$A$1:$I$89,5,0)</f>
        <v>115.38239999999995</v>
      </c>
      <c r="BF95" s="14">
        <f t="shared" si="91"/>
        <v>30.59557273099043</v>
      </c>
      <c r="BG95" s="22">
        <f t="shared" si="61"/>
        <v>254.24496917314158</v>
      </c>
      <c r="BH95" s="62">
        <f t="shared" si="62"/>
        <v>525.628923447543</v>
      </c>
      <c r="BI95" s="62">
        <f ca="1">AVERAGE(OFFSET($BH$3,0,0,'Données projet'!$E$11+1,1))-AVERAGE(OFFSET($H$3,0,0,'Données projet'!$E$11+1,1))</f>
        <v>299.54950406029354</v>
      </c>
      <c r="BJ95" s="62">
        <f t="shared" si="92"/>
        <v>208.26364698165739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64.013805711200391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2.9487179487179445</v>
      </c>
      <c r="BY95" s="13">
        <f>IF('Données projet'!$A$114&gt;35,BY94+BX95-CG94,IF(A95&lt;'Données projet'!$A$114,$BV$205^A95,IF(A95='Données projet'!$A$114,'Données projet'!$B$114,BY94+BX95-CG94)))</f>
        <v>211.6666666666666</v>
      </c>
      <c r="BZ95" s="14">
        <f>BY95*VLOOKUP('Données projet'!$B$12,Paramètres!$A$1:$I$89,3,0)*VLOOKUP('Données projet'!$B$12,Paramètres!$A$1:$I$89,5,0)</f>
        <v>227.83799999999994</v>
      </c>
      <c r="CA95" s="14">
        <f t="shared" si="93"/>
        <v>55.814949938288613</v>
      </c>
      <c r="CB95" s="22">
        <f t="shared" si="64"/>
        <v>494.02888780918585</v>
      </c>
      <c r="CC95" s="62">
        <f t="shared" si="65"/>
        <v>765.41284208358729</v>
      </c>
      <c r="CD95" s="62">
        <f ca="1">AVERAGE(OFFSET($CC$3,0,0,'Données projet'!$E$12+1,1))-AVERAGE(OFFSET($H$3,0,0,'Données projet'!$E$12+1,1))</f>
        <v>441.30518831297212</v>
      </c>
      <c r="CE95" s="62">
        <f t="shared" si="94"/>
        <v>270.42872405271851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64.013805711200391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-1.1368683772161603E-13</v>
      </c>
      <c r="CU95" s="18">
        <f>CT95*VLOOKUP('Données projet'!$B$13,Paramètres!$A$1:$I$89,3,0)*VLOOKUP('Données projet'!$B$13,Paramètres!$A$1:$I$89,5,0)</f>
        <v>-9.9316821433603781E-14</v>
      </c>
      <c r="CV95" s="14" t="e">
        <f t="shared" si="95"/>
        <v>#NUM!</v>
      </c>
      <c r="CW95" s="22" t="e">
        <f t="shared" si="67"/>
        <v>#NUM!</v>
      </c>
      <c r="CX95" s="62" t="e">
        <f t="shared" si="68"/>
        <v>#NUM!</v>
      </c>
      <c r="CY95" s="62">
        <f ca="1">AVERAGE(OFFSET($CX$3,0,0,'Données projet'!$E$13+1,1))-AVERAGE(OFFSET($H$3,0,0,'Données projet'!$E$13+1,1))</f>
        <v>310.81258463659196</v>
      </c>
      <c r="CZ95" s="62">
        <f t="shared" si="96"/>
        <v>287.31099756692083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64.013805711200391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2.9487179487179445</v>
      </c>
      <c r="DO95" s="13">
        <f>IF('Données projet'!$A$166&gt;35,DO94+DN95-DW94,IF(A95&lt;'Données projet'!$A$166,$DL$205^A95,IF(A95='Données projet'!$A$166,'Données projet'!$B$166,DO94+DN95-DW94)))</f>
        <v>211.6666666666666</v>
      </c>
      <c r="DP95" s="18">
        <f>DO95*VLOOKUP('Données projet'!$B$14,Paramètres!$A$1:$I$89,3,0)*VLOOKUP('Données projet'!$B$14,Paramètres!$A$1:$I$89,5,0)</f>
        <v>221.23399999999995</v>
      </c>
      <c r="DQ95" s="14">
        <f t="shared" si="97"/>
        <v>54.383002150969347</v>
      </c>
      <c r="DR95" s="22">
        <f t="shared" si="70"/>
        <v>480.0329454129382</v>
      </c>
      <c r="DS95" s="62">
        <f t="shared" si="71"/>
        <v>751.41689968733965</v>
      </c>
      <c r="DT95" s="62">
        <f ca="1">AVERAGE(OFFSET($DS$3,0,0,'Données projet'!$E$14+1,1))-AVERAGE(OFFSET($H$3,0,0,'Données projet'!$E$14+1,1))</f>
        <v>431.19274104373625</v>
      </c>
      <c r="DU95" s="62">
        <f t="shared" si="98"/>
        <v>264.67919175178133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64.013805711200391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8.1205128205128201</v>
      </c>
      <c r="EJ95" s="13">
        <f>IF('Données projet'!$A$192&gt;35,EJ94+EI95-ER94,IF(A95&lt;'Données projet'!$A$192,$EG$205^A95,IF(A95='Données projet'!$A$192,'Données projet'!$B$192,EJ94+EI95-ER94)))</f>
        <v>340.80256410256362</v>
      </c>
      <c r="EK95" s="18">
        <f>EJ95*VLOOKUP('Données projet'!$B$15,Paramètres!$A$1:$I$89,3,0)*VLOOKUP('Données projet'!$B$15,Paramètres!$A$1:$I$89,5,0)</f>
        <v>159.49559999999977</v>
      </c>
      <c r="EL95" s="14">
        <f t="shared" si="99"/>
        <v>40.728725680425562</v>
      </c>
      <c r="EM95" s="22">
        <f t="shared" si="73"/>
        <v>348.72403389340735</v>
      </c>
      <c r="EN95" s="62">
        <f t="shared" si="74"/>
        <v>620.1079881678088</v>
      </c>
      <c r="EO95" s="62">
        <f ca="1">AVERAGE(OFFSET($EN$3,0,0,'Données projet'!$E$15+1,1))-AVERAGE(OFFSET($H$3,0,0,'Données projet'!$E$15+1,1))</f>
        <v>291.68530745507815</v>
      </c>
      <c r="EP95" s="62">
        <f t="shared" si="100"/>
        <v>175.95121106728979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0</v>
      </c>
      <c r="EZ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64.013805711200391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-1.1368683772161603E-13</v>
      </c>
      <c r="FF95" s="18">
        <f>FE95*VLOOKUP('Données projet'!$B$16,Paramètres!$A$1:$I$89,3,0)*VLOOKUP('Données projet'!$B$16,Paramètres!$A$1:$I$89,5,0)</f>
        <v>-7.4487616075202823E-14</v>
      </c>
      <c r="FG95" s="14" t="e">
        <f t="shared" si="101"/>
        <v>#NUM!</v>
      </c>
      <c r="FH95" s="22" t="e">
        <f t="shared" si="76"/>
        <v>#NUM!</v>
      </c>
      <c r="FI95" s="62" t="e">
        <f t="shared" si="77"/>
        <v>#NUM!</v>
      </c>
      <c r="FJ95" s="62">
        <f ca="1">AVERAGE(OFFSET($FI$3,0,0,'Données projet'!$E$16+1,1))-AVERAGE(OFFSET($H$3,0,0,'Données projet'!$E$16+1,1))</f>
        <v>248.75689726928428</v>
      </c>
      <c r="FK95" s="62">
        <f t="shared" si="102"/>
        <v>232.02291680388336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projet'!$B$16,Paramètres!$A$1:$I$89,3,0)*0.475*44/12</f>
        <v>0</v>
      </c>
      <c r="FR95" s="23">
        <f>EXP(-LN(2)/25)*FR94+(1-EXP(-LN(2)/25))/(LN(2)/25)*Calculateur!FM95*Calculateur!FO95*VLOOKUP('Données projet'!$B$16,Paramètres!$A$1:$I$89,3,0)*0.475*44/12</f>
        <v>0</v>
      </c>
      <c r="FS95" s="23">
        <f>EXP(-LN(2)/2)*FS94+(1-EXP(-LN(2)/2))/(LN(2)/2)*FM95*FP95*VLOOKUP('Données projet'!$B$16,Paramètres!$A$1:$I$89,3,0)*0.475*44/12</f>
        <v>0</v>
      </c>
      <c r="FT95" s="24">
        <f t="shared" si="78"/>
        <v>0</v>
      </c>
      <c r="FU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64.013805711200391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5.1159076974727213E-13</v>
      </c>
      <c r="GA95" s="18">
        <f>FZ95*VLOOKUP('Données projet'!$B$17,Paramètres!$A$1:$I$89,3,0)*VLOOKUP('Données projet'!$B$17,Paramètres!$A$1:$I$89,5,0)</f>
        <v>3.0593128030886877E-13</v>
      </c>
      <c r="GB95" s="14">
        <f t="shared" si="103"/>
        <v>4.0350537939347394E-12</v>
      </c>
      <c r="GC95" s="22">
        <f t="shared" si="79"/>
        <v>7.5605490043076185E-12</v>
      </c>
      <c r="GD95" s="62">
        <f t="shared" si="80"/>
        <v>271.38395427440901</v>
      </c>
      <c r="GE95" s="62">
        <f ca="1">AVERAGE(OFFSET($GD$3,0,0,'Données projet'!$E$17+1,1))-AVERAGE(OFFSET($H$3,0,0,'Données projet'!$E$17+1,1))</f>
        <v>315.909549580511</v>
      </c>
      <c r="GF95" s="62">
        <f t="shared" si="104"/>
        <v>208.56856525402051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projet'!$B$17,Paramètres!$A$1:$I$89,3,0)*0.475*44/12</f>
        <v>0</v>
      </c>
      <c r="GM95" s="23">
        <f>EXP(-LN(2)/25)*GM94+(1-EXP(-LN(2)/25))/(LN(2)/25)*Calculateur!GH95*Calculateur!GJ95*VLOOKUP('Données projet'!$B$17,Paramètres!$A$1:$I$89,3,0)*0.475*44/12</f>
        <v>0</v>
      </c>
      <c r="GN95" s="23">
        <f>EXP(-LN(2)/2)*GN94+(1-EXP(-LN(2)/2))/(LN(2)/2)*GH95*GK95*VLOOKUP('Données projet'!$B$17,Paramètres!$A$1:$I$89,3,0)*0.475*44/12</f>
        <v>0</v>
      </c>
      <c r="GO95" s="23">
        <f t="shared" si="81"/>
        <v>0</v>
      </c>
      <c r="GP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64.013805711200391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2.6923076923076907</v>
      </c>
      <c r="GU95" s="13">
        <f>IF('Données projet'!$A$270&gt;35,GU94+GT95-HC94,IF(A95&lt;'Données projet'!$A$270,$GR$205^A95,IF(A95='Données projet'!$A$270,'Données projet'!$B$270,GU94+GT95-HC94)))</f>
        <v>190.64102564102572</v>
      </c>
      <c r="GV95" s="18">
        <f>GU95*VLOOKUP('Données projet'!$B$18,Paramètres!$A$1:$I$89,3,0)*VLOOKUP('Données projet'!$B$18,Paramètres!$A$1:$I$89,5,0)</f>
        <v>127.88200000000005</v>
      </c>
      <c r="GW95" s="14">
        <f t="shared" si="105"/>
        <v>33.506484817965941</v>
      </c>
      <c r="GX95" s="22">
        <f t="shared" si="82"/>
        <v>281.08494439129078</v>
      </c>
      <c r="GY95" s="62">
        <f t="shared" si="83"/>
        <v>552.46889866569222</v>
      </c>
      <c r="GZ95" s="62">
        <f ca="1">AVERAGE(OFFSET($GY$3,0,0,'Données projet'!$E$18+1,1))-AVERAGE(OFFSET($H$3,0,0,'Données projet'!$E$18+1,1))</f>
        <v>254.35742752782755</v>
      </c>
      <c r="HA95" s="62">
        <f t="shared" si="106"/>
        <v>171.79611712137395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>
        <f>EXP(-LN(2)/35)*HG94+(1-EXP(-LN(2)/35))/(LN(2)/35)*HC95*HD95*VLOOKUP('Données projet'!$B$18,Paramètres!$A$1:$I$89,3,0)*0.475*44/12</f>
        <v>0</v>
      </c>
      <c r="HH95" s="23">
        <f>EXP(-LN(2)/25)*HH94+(1-EXP(-LN(2)/25))/(LN(2)/25)*Calculateur!HC95*Calculateur!HE95*VLOOKUP('Données projet'!$B$18,Paramètres!$A$1:$I$89,3,0)*0.475*44/12</f>
        <v>0</v>
      </c>
      <c r="HI95" s="23">
        <f>EXP(-LN(2)/2)*HI94+(1-EXP(-LN(2)/2))/(LN(2)/2)*HC95*HF95*VLOOKUP('Données projet'!$B$18,Paramètres!$A$1:$I$89,3,0)*0.475*44/12</f>
        <v>0</v>
      </c>
      <c r="HJ95" s="24">
        <f t="shared" si="84"/>
        <v>0</v>
      </c>
    </row>
    <row r="96" spans="1:218" s="5" customFormat="1" x14ac:dyDescent="0.3">
      <c r="A96" s="11">
        <f t="shared" si="85"/>
        <v>93</v>
      </c>
      <c r="B96" s="76">
        <f>'Scénario référence'!$B$16*5+'Scénario référence'!$B$17*0+'Scénario référence'!$B$18*5</f>
        <v>3.9405000000000001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14.448500000000001</v>
      </c>
      <c r="H96" s="69">
        <f t="shared" si="56"/>
        <v>161.30656666666667</v>
      </c>
      <c r="I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64.117652798985574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210.54472399593521</v>
      </c>
      <c r="T96" s="62">
        <f t="shared" si="88"/>
        <v>181.14158435194193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64.117652798985574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1.2800000000000069</v>
      </c>
      <c r="AI96" s="14">
        <f>IF('Données projet'!$A$62&gt;35,AI95+AH96-AQ95,IF(A96&lt;'Données projet'!$A$62,$AF$205^A96,IF(A96='Données projet'!$A$62,'Données projet'!$B$62,AI95+AH96-AQ95)))</f>
        <v>308.73999999999984</v>
      </c>
      <c r="AJ96" s="14">
        <f>AI96*VLOOKUP('Données projet'!$B$10,Paramètres!$A$1:$I$89,3,0)*VLOOKUP('Données projet'!$B$10,Paramètres!$A$1:$I$89,5,0)</f>
        <v>160.54479999999992</v>
      </c>
      <c r="AK96" s="14">
        <f t="shared" si="89"/>
        <v>40.965372246732414</v>
      </c>
      <c r="AL96" s="22">
        <f t="shared" si="58"/>
        <v>350.96354999639215</v>
      </c>
      <c r="AM96" s="62">
        <f t="shared" si="59"/>
        <v>622.72827692600595</v>
      </c>
      <c r="AN96" s="62">
        <f ca="1">AVERAGE(OFFSET($AM$3,0,0,'Données projet'!$E$10+1,1))-AVERAGE(OFFSET($H$3,0,0,'Données projet'!$E$10+1,1))</f>
        <v>289.05608923588198</v>
      </c>
      <c r="AO96" s="62">
        <f t="shared" si="90"/>
        <v>220.06639020312738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64.117652798985574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1.4583333333333344</v>
      </c>
      <c r="BD96" s="13">
        <f>IF('Données projet'!$A$88&gt;35,BD95+BC96-BL95,IF(A96&lt;'Données projet'!$A$88,$BA$205^A96,IF(A96='Données projet'!$A$88,'Données projet'!$B$88,BD95+BC96-BL95)))</f>
        <v>101.61666666666662</v>
      </c>
      <c r="BE96" s="14">
        <f>BD96*VLOOKUP('Données projet'!$B$11,Paramètres!$A$1:$I$89,3,0)*VLOOKUP('Données projet'!$B$11,Paramètres!$A$1:$I$89,5,0)</f>
        <v>117.06239999999994</v>
      </c>
      <c r="BF96" s="14">
        <f t="shared" si="91"/>
        <v>30.988867171899123</v>
      </c>
      <c r="BG96" s="22">
        <f t="shared" si="61"/>
        <v>257.85595699105755</v>
      </c>
      <c r="BH96" s="62">
        <f t="shared" si="62"/>
        <v>529.62068392067135</v>
      </c>
      <c r="BI96" s="62">
        <f ca="1">AVERAGE(OFFSET($BH$3,0,0,'Données projet'!$E$11+1,1))-AVERAGE(OFFSET($H$3,0,0,'Données projet'!$E$11+1,1))</f>
        <v>299.54950406029354</v>
      </c>
      <c r="BJ96" s="62">
        <f t="shared" si="92"/>
        <v>208.26364698165739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64.117652798985574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2.9487179487179445</v>
      </c>
      <c r="BY96" s="13">
        <f>IF('Données projet'!$A$114&gt;35,BY95+BX96-CG95,IF(A96&lt;'Données projet'!$A$114,$BV$205^A96,IF(A96='Données projet'!$A$114,'Données projet'!$B$114,BY95+BX96-CG95)))</f>
        <v>214.61538461538456</v>
      </c>
      <c r="BZ96" s="14">
        <f>BY96*VLOOKUP('Données projet'!$B$12,Paramètres!$A$1:$I$89,3,0)*VLOOKUP('Données projet'!$B$12,Paramètres!$A$1:$I$89,5,0)</f>
        <v>231.01199999999992</v>
      </c>
      <c r="CA96" s="14">
        <f t="shared" si="93"/>
        <v>56.501443648313938</v>
      </c>
      <c r="CB96" s="22">
        <f t="shared" si="64"/>
        <v>500.75258102081324</v>
      </c>
      <c r="CC96" s="62">
        <f t="shared" si="65"/>
        <v>772.51730795042704</v>
      </c>
      <c r="CD96" s="62">
        <f ca="1">AVERAGE(OFFSET($CC$3,0,0,'Données projet'!$E$12+1,1))-AVERAGE(OFFSET($H$3,0,0,'Données projet'!$E$12+1,1))</f>
        <v>441.30518831297212</v>
      </c>
      <c r="CE96" s="62">
        <f t="shared" si="94"/>
        <v>270.42872405271851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64.117652798985574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-1.1368683772161603E-13</v>
      </c>
      <c r="CU96" s="18">
        <f>CT96*VLOOKUP('Données projet'!$B$13,Paramètres!$A$1:$I$89,3,0)*VLOOKUP('Données projet'!$B$13,Paramètres!$A$1:$I$89,5,0)</f>
        <v>-9.9316821433603781E-14</v>
      </c>
      <c r="CV96" s="14" t="e">
        <f t="shared" si="95"/>
        <v>#NUM!</v>
      </c>
      <c r="CW96" s="22" t="e">
        <f t="shared" si="67"/>
        <v>#NUM!</v>
      </c>
      <c r="CX96" s="62" t="e">
        <f t="shared" si="68"/>
        <v>#NUM!</v>
      </c>
      <c r="CY96" s="62">
        <f ca="1">AVERAGE(OFFSET($CX$3,0,0,'Données projet'!$E$13+1,1))-AVERAGE(OFFSET($H$3,0,0,'Données projet'!$E$13+1,1))</f>
        <v>310.81258463659196</v>
      </c>
      <c r="CZ96" s="62">
        <f t="shared" si="96"/>
        <v>287.31099756692083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64.117652798985574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2.9487179487179445</v>
      </c>
      <c r="DO96" s="13">
        <f>IF('Données projet'!$A$166&gt;35,DO95+DN96-DW95,IF(A96&lt;'Données projet'!$A$166,$DL$205^A96,IF(A96='Données projet'!$A$166,'Données projet'!$B$166,DO95+DN96-DW95)))</f>
        <v>214.61538461538456</v>
      </c>
      <c r="DP96" s="18">
        <f>DO96*VLOOKUP('Données projet'!$B$14,Paramètres!$A$1:$I$89,3,0)*VLOOKUP('Données projet'!$B$14,Paramètres!$A$1:$I$89,5,0)</f>
        <v>224.31599999999997</v>
      </c>
      <c r="DQ96" s="14">
        <f t="shared" si="97"/>
        <v>55.051883677338395</v>
      </c>
      <c r="DR96" s="22">
        <f t="shared" si="70"/>
        <v>486.56573073803094</v>
      </c>
      <c r="DS96" s="62">
        <f t="shared" si="71"/>
        <v>758.33045766764474</v>
      </c>
      <c r="DT96" s="62">
        <f ca="1">AVERAGE(OFFSET($DS$3,0,0,'Données projet'!$E$14+1,1))-AVERAGE(OFFSET($H$3,0,0,'Données projet'!$E$14+1,1))</f>
        <v>431.19274104373625</v>
      </c>
      <c r="DU96" s="62">
        <f t="shared" si="98"/>
        <v>264.67919175178133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64.117652798985574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>
        <f>VLOOKUP(A96,'Données projet'!$A$191:$I$211,2,0)</f>
        <v>348.92307692307691</v>
      </c>
      <c r="EH96" s="13">
        <f>VLOOKUP(A96,'Données projet'!$A$191:$I$211,9,0)</f>
        <v>8.1205128205128201</v>
      </c>
      <c r="EI96" s="13">
        <f t="array" ref="EI96">INDEX(EH:EH,MIN(IF(ISNUMBER(EH96:EH292),ROW(EH96:EH292),"")))</f>
        <v>8.1205128205128201</v>
      </c>
      <c r="EJ96" s="13">
        <f>IF('Données projet'!$A$192&gt;35,EJ95+EI96-ER95,IF(A96&lt;'Données projet'!$A$192,$EG$205^A96,IF(A96='Données projet'!$A$192,'Données projet'!$B$192,EJ95+EI96-ER95)))</f>
        <v>348.92307692307645</v>
      </c>
      <c r="EK96" s="18">
        <f>EJ96*VLOOKUP('Données projet'!$B$15,Paramètres!$A$1:$I$89,3,0)*VLOOKUP('Données projet'!$B$15,Paramètres!$A$1:$I$89,5,0)</f>
        <v>163.29599999999979</v>
      </c>
      <c r="EL96" s="14">
        <f t="shared" si="99"/>
        <v>41.585052862581854</v>
      </c>
      <c r="EM96" s="22">
        <f t="shared" si="73"/>
        <v>356.8345004023297</v>
      </c>
      <c r="EN96" s="62">
        <f t="shared" si="74"/>
        <v>628.59922733194344</v>
      </c>
      <c r="EO96" s="62">
        <f ca="1">AVERAGE(OFFSET($EN$3,0,0,'Données projet'!$E$15+1,1))-AVERAGE(OFFSET($H$3,0,0,'Données projet'!$E$15+1,1))</f>
        <v>291.68530745507815</v>
      </c>
      <c r="EP96" s="62">
        <f t="shared" si="100"/>
        <v>175.95121106728979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0</v>
      </c>
      <c r="EZ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64.117652798985574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-1.1368683772161603E-13</v>
      </c>
      <c r="FF96" s="18">
        <f>FE96*VLOOKUP('Données projet'!$B$16,Paramètres!$A$1:$I$89,3,0)*VLOOKUP('Données projet'!$B$16,Paramètres!$A$1:$I$89,5,0)</f>
        <v>-7.4487616075202823E-14</v>
      </c>
      <c r="FG96" s="14" t="e">
        <f t="shared" si="101"/>
        <v>#NUM!</v>
      </c>
      <c r="FH96" s="22" t="e">
        <f t="shared" si="76"/>
        <v>#NUM!</v>
      </c>
      <c r="FI96" s="62" t="e">
        <f t="shared" si="77"/>
        <v>#NUM!</v>
      </c>
      <c r="FJ96" s="62">
        <f ca="1">AVERAGE(OFFSET($FI$3,0,0,'Données projet'!$E$16+1,1))-AVERAGE(OFFSET($H$3,0,0,'Données projet'!$E$16+1,1))</f>
        <v>248.75689726928428</v>
      </c>
      <c r="FK96" s="62">
        <f t="shared" si="102"/>
        <v>232.02291680388336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projet'!$B$16,Paramètres!$A$1:$I$89,3,0)*0.475*44/12</f>
        <v>0</v>
      </c>
      <c r="FR96" s="23">
        <f>EXP(-LN(2)/25)*FR95+(1-EXP(-LN(2)/25))/(LN(2)/25)*Calculateur!FM96*Calculateur!FO96*VLOOKUP('Données projet'!$B$16,Paramètres!$A$1:$I$89,3,0)*0.475*44/12</f>
        <v>0</v>
      </c>
      <c r="FS96" s="23">
        <f>EXP(-LN(2)/2)*FS95+(1-EXP(-LN(2)/2))/(LN(2)/2)*FM96*FP96*VLOOKUP('Données projet'!$B$16,Paramètres!$A$1:$I$89,3,0)*0.475*44/12</f>
        <v>0</v>
      </c>
      <c r="FT96" s="24">
        <f t="shared" si="78"/>
        <v>0</v>
      </c>
      <c r="FU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64.117652798985574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5.1159076974727213E-13</v>
      </c>
      <c r="GA96" s="18">
        <f>FZ96*VLOOKUP('Données projet'!$B$17,Paramètres!$A$1:$I$89,3,0)*VLOOKUP('Données projet'!$B$17,Paramètres!$A$1:$I$89,5,0)</f>
        <v>3.0593128030886877E-13</v>
      </c>
      <c r="GB96" s="14">
        <f t="shared" si="103"/>
        <v>4.0350537939347394E-12</v>
      </c>
      <c r="GC96" s="22">
        <f t="shared" si="79"/>
        <v>7.5605490043076185E-12</v>
      </c>
      <c r="GD96" s="62">
        <f t="shared" si="80"/>
        <v>271.76472692962136</v>
      </c>
      <c r="GE96" s="62">
        <f ca="1">AVERAGE(OFFSET($GD$3,0,0,'Données projet'!$E$17+1,1))-AVERAGE(OFFSET($H$3,0,0,'Données projet'!$E$17+1,1))</f>
        <v>315.909549580511</v>
      </c>
      <c r="GF96" s="62">
        <f t="shared" si="104"/>
        <v>208.56856525402051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projet'!$B$17,Paramètres!$A$1:$I$89,3,0)*0.475*44/12</f>
        <v>0</v>
      </c>
      <c r="GM96" s="23">
        <f>EXP(-LN(2)/25)*GM95+(1-EXP(-LN(2)/25))/(LN(2)/25)*Calculateur!GH96*Calculateur!GJ96*VLOOKUP('Données projet'!$B$17,Paramètres!$A$1:$I$89,3,0)*0.475*44/12</f>
        <v>0</v>
      </c>
      <c r="GN96" s="23">
        <f>EXP(-LN(2)/2)*GN95+(1-EXP(-LN(2)/2))/(LN(2)/2)*GH96*GK96*VLOOKUP('Données projet'!$B$17,Paramètres!$A$1:$I$89,3,0)*0.475*44/12</f>
        <v>0</v>
      </c>
      <c r="GO96" s="23">
        <f t="shared" si="81"/>
        <v>0</v>
      </c>
      <c r="GP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64.117652798985574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2.6923076923076907</v>
      </c>
      <c r="GU96" s="13">
        <f>IF('Données projet'!$A$270&gt;35,GU95+GT96-HC95,IF(A96&lt;'Données projet'!$A$270,$GR$205^A96,IF(A96='Données projet'!$A$270,'Données projet'!$B$270,GU95+GT96-HC95)))</f>
        <v>193.3333333333334</v>
      </c>
      <c r="GV96" s="18">
        <f>GU96*VLOOKUP('Données projet'!$B$18,Paramètres!$A$1:$I$89,3,0)*VLOOKUP('Données projet'!$B$18,Paramètres!$A$1:$I$89,5,0)</f>
        <v>129.68800000000005</v>
      </c>
      <c r="GW96" s="14">
        <f t="shared" si="105"/>
        <v>33.924255213794552</v>
      </c>
      <c r="GX96" s="22">
        <f t="shared" si="82"/>
        <v>284.95801116402555</v>
      </c>
      <c r="GY96" s="62">
        <f t="shared" si="83"/>
        <v>556.72273809363935</v>
      </c>
      <c r="GZ96" s="62">
        <f ca="1">AVERAGE(OFFSET($GY$3,0,0,'Données projet'!$E$18+1,1))-AVERAGE(OFFSET($H$3,0,0,'Données projet'!$E$18+1,1))</f>
        <v>254.35742752782755</v>
      </c>
      <c r="HA96" s="62">
        <f t="shared" si="106"/>
        <v>171.79611712137395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>
        <f>EXP(-LN(2)/35)*HG95+(1-EXP(-LN(2)/35))/(LN(2)/35)*HC96*HD96*VLOOKUP('Données projet'!$B$18,Paramètres!$A$1:$I$89,3,0)*0.475*44/12</f>
        <v>0</v>
      </c>
      <c r="HH96" s="23">
        <f>EXP(-LN(2)/25)*HH95+(1-EXP(-LN(2)/25))/(LN(2)/25)*Calculateur!HC96*Calculateur!HE96*VLOOKUP('Données projet'!$B$18,Paramètres!$A$1:$I$89,3,0)*0.475*44/12</f>
        <v>0</v>
      </c>
      <c r="HI96" s="23">
        <f>EXP(-LN(2)/2)*HI95+(1-EXP(-LN(2)/2))/(LN(2)/2)*HC96*HF96*VLOOKUP('Données projet'!$B$18,Paramètres!$A$1:$I$89,3,0)*0.475*44/12</f>
        <v>0</v>
      </c>
      <c r="HJ96" s="24">
        <f t="shared" si="84"/>
        <v>0</v>
      </c>
    </row>
    <row r="97" spans="1:218" s="5" customFormat="1" x14ac:dyDescent="0.3">
      <c r="A97" s="11">
        <f t="shared" si="85"/>
        <v>94</v>
      </c>
      <c r="B97" s="76">
        <f>'Scénario référence'!$B$16*5+'Scénario référence'!$B$17*0+'Scénario référence'!$B$18*5</f>
        <v>3.9405000000000001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14.448500000000001</v>
      </c>
      <c r="H97" s="69">
        <f t="shared" si="56"/>
        <v>161.30656666666667</v>
      </c>
      <c r="I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64.219698371964981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210.54472399593521</v>
      </c>
      <c r="T97" s="62">
        <f t="shared" si="88"/>
        <v>181.14158435194193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64.219698371964981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1.2800000000000069</v>
      </c>
      <c r="AI97" s="14">
        <f>IF('Données projet'!$A$62&gt;35,AI96+AH97-AQ96,IF(A97&lt;'Données projet'!$A$62,$AF$205^A97,IF(A97='Données projet'!$A$62,'Données projet'!$B$62,AI96+AH97-AQ96)))</f>
        <v>310.01999999999987</v>
      </c>
      <c r="AJ97" s="14">
        <f>AI97*VLOOKUP('Données projet'!$B$10,Paramètres!$A$1:$I$89,3,0)*VLOOKUP('Données projet'!$B$10,Paramètres!$A$1:$I$89,5,0)</f>
        <v>161.21039999999994</v>
      </c>
      <c r="AK97" s="14">
        <f t="shared" si="89"/>
        <v>41.115404641102025</v>
      </c>
      <c r="AL97" s="22">
        <f t="shared" si="58"/>
        <v>352.38410974991922</v>
      </c>
      <c r="AM97" s="62">
        <f t="shared" si="59"/>
        <v>624.52300378045743</v>
      </c>
      <c r="AN97" s="62">
        <f ca="1">AVERAGE(OFFSET($AM$3,0,0,'Données projet'!$E$10+1,1))-AVERAGE(OFFSET($H$3,0,0,'Données projet'!$E$10+1,1))</f>
        <v>289.05608923588198</v>
      </c>
      <c r="AO97" s="62">
        <f t="shared" si="90"/>
        <v>220.06639020312738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64.219698371964981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1.4583333333333344</v>
      </c>
      <c r="BD97" s="13">
        <f>IF('Données projet'!$A$88&gt;35,BD96+BC97-BL96,IF(A97&lt;'Données projet'!$A$88,$BA$205^A97,IF(A97='Données projet'!$A$88,'Données projet'!$B$88,BD96+BC97-BL96)))</f>
        <v>103.07499999999995</v>
      </c>
      <c r="BE97" s="14">
        <f>BD97*VLOOKUP('Données projet'!$B$11,Paramètres!$A$1:$I$89,3,0)*VLOOKUP('Données projet'!$B$11,Paramètres!$A$1:$I$89,5,0)</f>
        <v>118.74239999999992</v>
      </c>
      <c r="BF97" s="14">
        <f t="shared" si="91"/>
        <v>31.38150514154874</v>
      </c>
      <c r="BG97" s="22">
        <f t="shared" si="61"/>
        <v>261.46580145486388</v>
      </c>
      <c r="BH97" s="62">
        <f t="shared" si="62"/>
        <v>533.60469548540209</v>
      </c>
      <c r="BI97" s="62">
        <f ca="1">AVERAGE(OFFSET($BH$3,0,0,'Données projet'!$E$11+1,1))-AVERAGE(OFFSET($H$3,0,0,'Données projet'!$E$11+1,1))</f>
        <v>299.54950406029354</v>
      </c>
      <c r="BJ97" s="62">
        <f t="shared" si="92"/>
        <v>208.26364698165739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64.219698371964981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2.9487179487179445</v>
      </c>
      <c r="BY97" s="13">
        <f>IF('Données projet'!$A$114&gt;35,BY96+BX97-CG96,IF(A97&lt;'Données projet'!$A$114,$BV$205^A97,IF(A97='Données projet'!$A$114,'Données projet'!$B$114,BY96+BX97-CG96)))</f>
        <v>217.56410256410251</v>
      </c>
      <c r="BZ97" s="14">
        <f>BY97*VLOOKUP('Données projet'!$B$12,Paramètres!$A$1:$I$89,3,0)*VLOOKUP('Données projet'!$B$12,Paramètres!$A$1:$I$89,5,0)</f>
        <v>234.18599999999992</v>
      </c>
      <c r="CA97" s="14">
        <f t="shared" si="93"/>
        <v>57.186840301472806</v>
      </c>
      <c r="CB97" s="22">
        <f t="shared" si="64"/>
        <v>507.47436352506497</v>
      </c>
      <c r="CC97" s="62">
        <f t="shared" si="65"/>
        <v>779.61325755560324</v>
      </c>
      <c r="CD97" s="62">
        <f ca="1">AVERAGE(OFFSET($CC$3,0,0,'Données projet'!$E$12+1,1))-AVERAGE(OFFSET($H$3,0,0,'Données projet'!$E$12+1,1))</f>
        <v>441.30518831297212</v>
      </c>
      <c r="CE97" s="62">
        <f t="shared" si="94"/>
        <v>270.42872405271851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64.219698371964981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-1.1368683772161603E-13</v>
      </c>
      <c r="CU97" s="18">
        <f>CT97*VLOOKUP('Données projet'!$B$13,Paramètres!$A$1:$I$89,3,0)*VLOOKUP('Données projet'!$B$13,Paramètres!$A$1:$I$89,5,0)</f>
        <v>-9.9316821433603781E-14</v>
      </c>
      <c r="CV97" s="14" t="e">
        <f t="shared" si="95"/>
        <v>#NUM!</v>
      </c>
      <c r="CW97" s="22" t="e">
        <f t="shared" si="67"/>
        <v>#NUM!</v>
      </c>
      <c r="CX97" s="62" t="e">
        <f t="shared" si="68"/>
        <v>#NUM!</v>
      </c>
      <c r="CY97" s="62">
        <f ca="1">AVERAGE(OFFSET($CX$3,0,0,'Données projet'!$E$13+1,1))-AVERAGE(OFFSET($H$3,0,0,'Données projet'!$E$13+1,1))</f>
        <v>310.81258463659196</v>
      </c>
      <c r="CZ97" s="62">
        <f t="shared" si="96"/>
        <v>287.31099756692083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64.219698371964981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2.9487179487179445</v>
      </c>
      <c r="DO97" s="13">
        <f>IF('Données projet'!$A$166&gt;35,DO96+DN97-DW96,IF(A97&lt;'Données projet'!$A$166,$DL$205^A97,IF(A97='Données projet'!$A$166,'Données projet'!$B$166,DO96+DN97-DW96)))</f>
        <v>217.56410256410251</v>
      </c>
      <c r="DP97" s="18">
        <f>DO97*VLOOKUP('Données projet'!$B$14,Paramètres!$A$1:$I$89,3,0)*VLOOKUP('Données projet'!$B$14,Paramètres!$A$1:$I$89,5,0)</f>
        <v>227.39799999999997</v>
      </c>
      <c r="DQ97" s="14">
        <f t="shared" si="97"/>
        <v>55.719696292134564</v>
      </c>
      <c r="DR97" s="22">
        <f t="shared" si="70"/>
        <v>493.09665437546772</v>
      </c>
      <c r="DS97" s="62">
        <f t="shared" si="71"/>
        <v>765.23554840600605</v>
      </c>
      <c r="DT97" s="62">
        <f ca="1">AVERAGE(OFFSET($DS$3,0,0,'Données projet'!$E$14+1,1))-AVERAGE(OFFSET($H$3,0,0,'Données projet'!$E$14+1,1))</f>
        <v>431.19274104373625</v>
      </c>
      <c r="DU97" s="62">
        <f t="shared" si="98"/>
        <v>264.67919175178133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64.219698371964981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8.1576923076923151</v>
      </c>
      <c r="EJ97" s="13">
        <f>IF('Données projet'!$A$192&gt;35,EJ96+EI97-ER96,IF(A97&lt;'Données projet'!$A$192,$EG$205^A97,IF(A97='Données projet'!$A$192,'Données projet'!$B$192,EJ96+EI97-ER96)))</f>
        <v>357.08076923076874</v>
      </c>
      <c r="EK97" s="18">
        <f>EJ97*VLOOKUP('Données projet'!$B$15,Paramètres!$A$1:$I$89,3,0)*VLOOKUP('Données projet'!$B$15,Paramètres!$A$1:$I$89,5,0)</f>
        <v>167.11379999999977</v>
      </c>
      <c r="EL97" s="14">
        <f t="shared" si="99"/>
        <v>42.442968004718075</v>
      </c>
      <c r="EM97" s="22">
        <f t="shared" si="73"/>
        <v>364.97803760821688</v>
      </c>
      <c r="EN97" s="62">
        <f t="shared" si="74"/>
        <v>637.1169316387552</v>
      </c>
      <c r="EO97" s="62">
        <f ca="1">AVERAGE(OFFSET($EN$3,0,0,'Données projet'!$E$15+1,1))-AVERAGE(OFFSET($H$3,0,0,'Données projet'!$E$15+1,1))</f>
        <v>291.68530745507815</v>
      </c>
      <c r="EP97" s="62">
        <f t="shared" si="100"/>
        <v>175.95121106728979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0</v>
      </c>
      <c r="EZ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64.219698371964981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-1.1368683772161603E-13</v>
      </c>
      <c r="FF97" s="18">
        <f>FE97*VLOOKUP('Données projet'!$B$16,Paramètres!$A$1:$I$89,3,0)*VLOOKUP('Données projet'!$B$16,Paramètres!$A$1:$I$89,5,0)</f>
        <v>-7.4487616075202823E-14</v>
      </c>
      <c r="FG97" s="14" t="e">
        <f t="shared" si="101"/>
        <v>#NUM!</v>
      </c>
      <c r="FH97" s="22" t="e">
        <f t="shared" si="76"/>
        <v>#NUM!</v>
      </c>
      <c r="FI97" s="62" t="e">
        <f t="shared" si="77"/>
        <v>#NUM!</v>
      </c>
      <c r="FJ97" s="62">
        <f ca="1">AVERAGE(OFFSET($FI$3,0,0,'Données projet'!$E$16+1,1))-AVERAGE(OFFSET($H$3,0,0,'Données projet'!$E$16+1,1))</f>
        <v>248.75689726928428</v>
      </c>
      <c r="FK97" s="62">
        <f t="shared" si="102"/>
        <v>232.02291680388336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projet'!$B$16,Paramètres!$A$1:$I$89,3,0)*0.475*44/12</f>
        <v>0</v>
      </c>
      <c r="FR97" s="23">
        <f>EXP(-LN(2)/25)*FR96+(1-EXP(-LN(2)/25))/(LN(2)/25)*Calculateur!FM97*Calculateur!FO97*VLOOKUP('Données projet'!$B$16,Paramètres!$A$1:$I$89,3,0)*0.475*44/12</f>
        <v>0</v>
      </c>
      <c r="FS97" s="23">
        <f>EXP(-LN(2)/2)*FS96+(1-EXP(-LN(2)/2))/(LN(2)/2)*FM97*FP97*VLOOKUP('Données projet'!$B$16,Paramètres!$A$1:$I$89,3,0)*0.475*44/12</f>
        <v>0</v>
      </c>
      <c r="FT97" s="24">
        <f t="shared" si="78"/>
        <v>0</v>
      </c>
      <c r="FU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64.219698371964981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5.1159076974727213E-13</v>
      </c>
      <c r="GA97" s="18">
        <f>FZ97*VLOOKUP('Données projet'!$B$17,Paramètres!$A$1:$I$89,3,0)*VLOOKUP('Données projet'!$B$17,Paramètres!$A$1:$I$89,5,0)</f>
        <v>3.0593128030886877E-13</v>
      </c>
      <c r="GB97" s="14">
        <f t="shared" si="103"/>
        <v>4.0350537939347394E-12</v>
      </c>
      <c r="GC97" s="22">
        <f t="shared" si="79"/>
        <v>7.5605490043076185E-12</v>
      </c>
      <c r="GD97" s="62">
        <f t="shared" si="80"/>
        <v>272.13889403054583</v>
      </c>
      <c r="GE97" s="62">
        <f ca="1">AVERAGE(OFFSET($GD$3,0,0,'Données projet'!$E$17+1,1))-AVERAGE(OFFSET($H$3,0,0,'Données projet'!$E$17+1,1))</f>
        <v>315.909549580511</v>
      </c>
      <c r="GF97" s="62">
        <f t="shared" si="104"/>
        <v>208.56856525402051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projet'!$B$17,Paramètres!$A$1:$I$89,3,0)*0.475*44/12</f>
        <v>0</v>
      </c>
      <c r="GM97" s="23">
        <f>EXP(-LN(2)/25)*GM96+(1-EXP(-LN(2)/25))/(LN(2)/25)*Calculateur!GH97*Calculateur!GJ97*VLOOKUP('Données projet'!$B$17,Paramètres!$A$1:$I$89,3,0)*0.475*44/12</f>
        <v>0</v>
      </c>
      <c r="GN97" s="23">
        <f>EXP(-LN(2)/2)*GN96+(1-EXP(-LN(2)/2))/(LN(2)/2)*GH97*GK97*VLOOKUP('Données projet'!$B$17,Paramètres!$A$1:$I$89,3,0)*0.475*44/12</f>
        <v>0</v>
      </c>
      <c r="GO97" s="23">
        <f t="shared" si="81"/>
        <v>0</v>
      </c>
      <c r="GP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64.219698371964981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2.6923076923076907</v>
      </c>
      <c r="GU97" s="13">
        <f>IF('Données projet'!$A$270&gt;35,GU96+GT97-HC96,IF(A97&lt;'Données projet'!$A$270,$GR$205^A97,IF(A97='Données projet'!$A$270,'Données projet'!$B$270,GU96+GT97-HC96)))</f>
        <v>196.02564102564108</v>
      </c>
      <c r="GV97" s="18">
        <f>GU97*VLOOKUP('Données projet'!$B$18,Paramètres!$A$1:$I$89,3,0)*VLOOKUP('Données projet'!$B$18,Paramètres!$A$1:$I$89,5,0)</f>
        <v>131.49400000000006</v>
      </c>
      <c r="GW97" s="14">
        <f t="shared" si="105"/>
        <v>34.341348948072792</v>
      </c>
      <c r="GX97" s="22">
        <f t="shared" si="82"/>
        <v>288.82989941789356</v>
      </c>
      <c r="GY97" s="62">
        <f t="shared" si="83"/>
        <v>560.96879344843182</v>
      </c>
      <c r="GZ97" s="62">
        <f ca="1">AVERAGE(OFFSET($GY$3,0,0,'Données projet'!$E$18+1,1))-AVERAGE(OFFSET($H$3,0,0,'Données projet'!$E$18+1,1))</f>
        <v>254.35742752782755</v>
      </c>
      <c r="HA97" s="62">
        <f t="shared" si="106"/>
        <v>171.79611712137395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>
        <f>EXP(-LN(2)/35)*HG96+(1-EXP(-LN(2)/35))/(LN(2)/35)*HC97*HD97*VLOOKUP('Données projet'!$B$18,Paramètres!$A$1:$I$89,3,0)*0.475*44/12</f>
        <v>0</v>
      </c>
      <c r="HH97" s="23">
        <f>EXP(-LN(2)/25)*HH96+(1-EXP(-LN(2)/25))/(LN(2)/25)*Calculateur!HC97*Calculateur!HE97*VLOOKUP('Données projet'!$B$18,Paramètres!$A$1:$I$89,3,0)*0.475*44/12</f>
        <v>0</v>
      </c>
      <c r="HI97" s="23">
        <f>EXP(-LN(2)/2)*HI96+(1-EXP(-LN(2)/2))/(LN(2)/2)*HC97*HF97*VLOOKUP('Données projet'!$B$18,Paramètres!$A$1:$I$89,3,0)*0.475*44/12</f>
        <v>0</v>
      </c>
      <c r="HJ97" s="24">
        <f t="shared" si="84"/>
        <v>0</v>
      </c>
    </row>
    <row r="98" spans="1:218" s="5" customFormat="1" x14ac:dyDescent="0.3">
      <c r="A98" s="11">
        <f t="shared" si="85"/>
        <v>95</v>
      </c>
      <c r="B98" s="76">
        <f>'Scénario référence'!$B$16*5+'Scénario référence'!$B$17*0+'Scénario référence'!$B$18*5</f>
        <v>3.9405000000000001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14.448500000000001</v>
      </c>
      <c r="H98" s="69">
        <f t="shared" si="56"/>
        <v>161.30656666666667</v>
      </c>
      <c r="I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64.319973682392927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210.54472399593521</v>
      </c>
      <c r="T98" s="62">
        <f t="shared" si="88"/>
        <v>181.14158435194193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64.319973682392927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311.3</v>
      </c>
      <c r="AG98" s="13">
        <f>VLOOKUP(A98,'Données projet'!$A$61:$I$81,9,0)</f>
        <v>1.2800000000000069</v>
      </c>
      <c r="AH98" s="13">
        <f t="array" ref="AH98">INDEX(AG:AG,MIN(IF(ISNUMBER(AG98:AG294),ROW(AG98:AG294),"")))</f>
        <v>1.2800000000000069</v>
      </c>
      <c r="AI98" s="14">
        <f>IF('Données projet'!$A$62&gt;35,AI97+AH98-AQ97,IF(A98&lt;'Données projet'!$A$62,$AF$205^A98,IF(A98='Données projet'!$A$62,'Données projet'!$B$62,AI97+AH98-AQ97)))</f>
        <v>311.2999999999999</v>
      </c>
      <c r="AJ98" s="14">
        <f>AI98*VLOOKUP('Données projet'!$B$10,Paramètres!$A$1:$I$89,3,0)*VLOOKUP('Données projet'!$B$10,Paramètres!$A$1:$I$89,5,0)</f>
        <v>161.87599999999998</v>
      </c>
      <c r="AK98" s="14">
        <f t="shared" si="89"/>
        <v>41.2653649487576</v>
      </c>
      <c r="AL98" s="22">
        <f t="shared" si="58"/>
        <v>353.80454395241941</v>
      </c>
      <c r="AM98" s="62">
        <f t="shared" si="59"/>
        <v>626.31111412119344</v>
      </c>
      <c r="AN98" s="62">
        <f ca="1">AVERAGE(OFFSET($AM$3,0,0,'Données projet'!$E$10+1,1))-AVERAGE(OFFSET($H$3,0,0,'Données projet'!$E$10+1,1))</f>
        <v>289.05608923588198</v>
      </c>
      <c r="AO98" s="62">
        <f t="shared" si="90"/>
        <v>220.06639020312738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64.319973682392927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1.4583333333333344</v>
      </c>
      <c r="BD98" s="13">
        <f>IF('Données projet'!$A$88&gt;35,BD97+BC98-BL97,IF(A98&lt;'Données projet'!$A$88,$BA$205^A98,IF(A98='Données projet'!$A$88,'Données projet'!$B$88,BD97+BC98-BL97)))</f>
        <v>104.53333333333327</v>
      </c>
      <c r="BE98" s="14">
        <f>BD98*VLOOKUP('Données projet'!$B$11,Paramètres!$A$1:$I$89,3,0)*VLOOKUP('Données projet'!$B$11,Paramètres!$A$1:$I$89,5,0)</f>
        <v>120.42239999999991</v>
      </c>
      <c r="BF98" s="14">
        <f t="shared" si="91"/>
        <v>31.773497001152442</v>
      </c>
      <c r="BG98" s="22">
        <f t="shared" si="61"/>
        <v>265.07452061034036</v>
      </c>
      <c r="BH98" s="62">
        <f t="shared" si="62"/>
        <v>537.58109077911445</v>
      </c>
      <c r="BI98" s="62">
        <f ca="1">AVERAGE(OFFSET($BH$3,0,0,'Données projet'!$E$11+1,1))-AVERAGE(OFFSET($H$3,0,0,'Données projet'!$E$11+1,1))</f>
        <v>299.54950406029354</v>
      </c>
      <c r="BJ98" s="62">
        <f t="shared" si="92"/>
        <v>208.26364698165739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64.319973682392927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>
        <f>VLOOKUP(A98,'Données projet'!$A$113:$I$133,2,0)</f>
        <v>220.5128205128205</v>
      </c>
      <c r="BW98" s="13">
        <f>VLOOKUP(A98,'Données projet'!$A$113:$I$133,9,0)</f>
        <v>2.9487179487179445</v>
      </c>
      <c r="BX98" s="13">
        <f t="array" ref="BX98">INDEX(BW:BW,MIN(IF(ISNUMBER(BW98:BW294),ROW(BW98:BW294),"")))</f>
        <v>2.9487179487179445</v>
      </c>
      <c r="BY98" s="13">
        <f>IF('Données projet'!$A$114&gt;35,BY97+BX98-CG97,IF(A98&lt;'Données projet'!$A$114,$BV$205^A98,IF(A98='Données projet'!$A$114,'Données projet'!$B$114,BY97+BX98-CG97)))</f>
        <v>220.51282051282047</v>
      </c>
      <c r="BZ98" s="14">
        <f>BY98*VLOOKUP('Données projet'!$B$12,Paramètres!$A$1:$I$89,3,0)*VLOOKUP('Données projet'!$B$12,Paramètres!$A$1:$I$89,5,0)</f>
        <v>237.35999999999993</v>
      </c>
      <c r="CA98" s="14">
        <f t="shared" si="93"/>
        <v>57.87115648519854</v>
      </c>
      <c r="CB98" s="22">
        <f t="shared" si="64"/>
        <v>514.19426421172068</v>
      </c>
      <c r="CC98" s="62">
        <f t="shared" si="65"/>
        <v>786.70083438049483</v>
      </c>
      <c r="CD98" s="62">
        <f ca="1">AVERAGE(OFFSET($CC$3,0,0,'Données projet'!$E$12+1,1))-AVERAGE(OFFSET($H$3,0,0,'Données projet'!$E$12+1,1))</f>
        <v>441.30518831297212</v>
      </c>
      <c r="CE98" s="62">
        <f t="shared" si="94"/>
        <v>270.42872405271851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64.319973682392927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-1.1368683772161603E-13</v>
      </c>
      <c r="CU98" s="18">
        <f>CT98*VLOOKUP('Données projet'!$B$13,Paramètres!$A$1:$I$89,3,0)*VLOOKUP('Données projet'!$B$13,Paramètres!$A$1:$I$89,5,0)</f>
        <v>-9.9316821433603781E-14</v>
      </c>
      <c r="CV98" s="14" t="e">
        <f t="shared" si="95"/>
        <v>#NUM!</v>
      </c>
      <c r="CW98" s="22" t="e">
        <f t="shared" si="67"/>
        <v>#NUM!</v>
      </c>
      <c r="CX98" s="62" t="e">
        <f t="shared" si="68"/>
        <v>#NUM!</v>
      </c>
      <c r="CY98" s="62">
        <f ca="1">AVERAGE(OFFSET($CX$3,0,0,'Données projet'!$E$13+1,1))-AVERAGE(OFFSET($H$3,0,0,'Données projet'!$E$13+1,1))</f>
        <v>310.81258463659196</v>
      </c>
      <c r="CZ98" s="62">
        <f t="shared" si="96"/>
        <v>287.31099756692083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64.319973682392927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>
        <f>VLOOKUP(A98,'Données projet'!$A$165:$I$185,2,0)</f>
        <v>220.5128205128205</v>
      </c>
      <c r="DM98" s="13">
        <f>VLOOKUP(A98,'Données projet'!$A$165:$I$185,9,0)</f>
        <v>2.9487179487179445</v>
      </c>
      <c r="DN98" s="13">
        <f t="array" ref="DN98">INDEX(DM:DM,MIN(IF(ISNUMBER(DM98:DM294),ROW(DM98:DM294),"")))</f>
        <v>2.9487179487179445</v>
      </c>
      <c r="DO98" s="13">
        <f>IF('Données projet'!$A$166&gt;35,DO97+DN98-DW97,IF(A98&lt;'Données projet'!$A$166,$DL$205^A98,IF(A98='Données projet'!$A$166,'Données projet'!$B$166,DO97+DN98-DW97)))</f>
        <v>220.51282051282047</v>
      </c>
      <c r="DP98" s="18">
        <f>DO98*VLOOKUP('Données projet'!$B$14,Paramètres!$A$1:$I$89,3,0)*VLOOKUP('Données projet'!$B$14,Paramètres!$A$1:$I$89,5,0)</f>
        <v>230.48</v>
      </c>
      <c r="DQ98" s="14">
        <f t="shared" si="97"/>
        <v>56.386456157236054</v>
      </c>
      <c r="DR98" s="22">
        <f t="shared" si="70"/>
        <v>499.62574447385276</v>
      </c>
      <c r="DS98" s="62">
        <f t="shared" si="71"/>
        <v>772.13231464262685</v>
      </c>
      <c r="DT98" s="62">
        <f ca="1">AVERAGE(OFFSET($DS$3,0,0,'Données projet'!$E$14+1,1))-AVERAGE(OFFSET($H$3,0,0,'Données projet'!$E$14+1,1))</f>
        <v>431.19274104373625</v>
      </c>
      <c r="DU98" s="62">
        <f t="shared" si="98"/>
        <v>264.67919175178133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64.319973682392927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8.1576923076923151</v>
      </c>
      <c r="EJ98" s="13">
        <f>IF('Données projet'!$A$192&gt;35,EJ97+EI98-ER97,IF(A98&lt;'Données projet'!$A$192,$EG$205^A98,IF(A98='Données projet'!$A$192,'Données projet'!$B$192,EJ97+EI98-ER97)))</f>
        <v>365.23846153846102</v>
      </c>
      <c r="EK98" s="18">
        <f>EJ98*VLOOKUP('Données projet'!$B$15,Paramètres!$A$1:$I$89,3,0)*VLOOKUP('Données projet'!$B$15,Paramètres!$A$1:$I$89,5,0)</f>
        <v>170.93159999999975</v>
      </c>
      <c r="EL98" s="14">
        <f t="shared" si="99"/>
        <v>43.298604585177706</v>
      </c>
      <c r="EM98" s="22">
        <f t="shared" si="73"/>
        <v>373.11760631918406</v>
      </c>
      <c r="EN98" s="62">
        <f t="shared" si="74"/>
        <v>645.62417648795815</v>
      </c>
      <c r="EO98" s="62">
        <f ca="1">AVERAGE(OFFSET($EN$3,0,0,'Données projet'!$E$15+1,1))-AVERAGE(OFFSET($H$3,0,0,'Données projet'!$E$15+1,1))</f>
        <v>291.68530745507815</v>
      </c>
      <c r="EP98" s="62">
        <f t="shared" si="100"/>
        <v>175.95121106728979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0</v>
      </c>
      <c r="EZ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64.319973682392927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-1.1368683772161603E-13</v>
      </c>
      <c r="FF98" s="18">
        <f>FE98*VLOOKUP('Données projet'!$B$16,Paramètres!$A$1:$I$89,3,0)*VLOOKUP('Données projet'!$B$16,Paramètres!$A$1:$I$89,5,0)</f>
        <v>-7.4487616075202823E-14</v>
      </c>
      <c r="FG98" s="14" t="e">
        <f t="shared" si="101"/>
        <v>#NUM!</v>
      </c>
      <c r="FH98" s="22" t="e">
        <f t="shared" si="76"/>
        <v>#NUM!</v>
      </c>
      <c r="FI98" s="62" t="e">
        <f t="shared" si="77"/>
        <v>#NUM!</v>
      </c>
      <c r="FJ98" s="62">
        <f ca="1">AVERAGE(OFFSET($FI$3,0,0,'Données projet'!$E$16+1,1))-AVERAGE(OFFSET($H$3,0,0,'Données projet'!$E$16+1,1))</f>
        <v>248.75689726928428</v>
      </c>
      <c r="FK98" s="62">
        <f t="shared" si="102"/>
        <v>232.02291680388336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projet'!$B$16,Paramètres!$A$1:$I$89,3,0)*0.475*44/12</f>
        <v>0</v>
      </c>
      <c r="FR98" s="23">
        <f>EXP(-LN(2)/25)*FR97+(1-EXP(-LN(2)/25))/(LN(2)/25)*Calculateur!FM98*Calculateur!FO98*VLOOKUP('Données projet'!$B$16,Paramètres!$A$1:$I$89,3,0)*0.475*44/12</f>
        <v>0</v>
      </c>
      <c r="FS98" s="23">
        <f>EXP(-LN(2)/2)*FS97+(1-EXP(-LN(2)/2))/(LN(2)/2)*FM98*FP98*VLOOKUP('Données projet'!$B$16,Paramètres!$A$1:$I$89,3,0)*0.475*44/12</f>
        <v>0</v>
      </c>
      <c r="FT98" s="24">
        <f t="shared" si="78"/>
        <v>0</v>
      </c>
      <c r="FU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64.319973682392927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5.1159076974727213E-13</v>
      </c>
      <c r="GA98" s="18">
        <f>FZ98*VLOOKUP('Données projet'!$B$17,Paramètres!$A$1:$I$89,3,0)*VLOOKUP('Données projet'!$B$17,Paramètres!$A$1:$I$89,5,0)</f>
        <v>3.0593128030886877E-13</v>
      </c>
      <c r="GB98" s="14">
        <f t="shared" si="103"/>
        <v>4.0350537939347394E-12</v>
      </c>
      <c r="GC98" s="22">
        <f t="shared" si="79"/>
        <v>7.5605490043076185E-12</v>
      </c>
      <c r="GD98" s="62">
        <f t="shared" si="80"/>
        <v>272.50657016878165</v>
      </c>
      <c r="GE98" s="62">
        <f ca="1">AVERAGE(OFFSET($GD$3,0,0,'Données projet'!$E$17+1,1))-AVERAGE(OFFSET($H$3,0,0,'Données projet'!$E$17+1,1))</f>
        <v>315.909549580511</v>
      </c>
      <c r="GF98" s="62">
        <f t="shared" si="104"/>
        <v>208.56856525402051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projet'!$B$17,Paramètres!$A$1:$I$89,3,0)*0.475*44/12</f>
        <v>0</v>
      </c>
      <c r="GM98" s="23">
        <f>EXP(-LN(2)/25)*GM97+(1-EXP(-LN(2)/25))/(LN(2)/25)*Calculateur!GH98*Calculateur!GJ98*VLOOKUP('Données projet'!$B$17,Paramètres!$A$1:$I$89,3,0)*0.475*44/12</f>
        <v>0</v>
      </c>
      <c r="GN98" s="23">
        <f>EXP(-LN(2)/2)*GN97+(1-EXP(-LN(2)/2))/(LN(2)/2)*GH98*GK98*VLOOKUP('Données projet'!$B$17,Paramètres!$A$1:$I$89,3,0)*0.475*44/12</f>
        <v>0</v>
      </c>
      <c r="GO98" s="23">
        <f t="shared" si="81"/>
        <v>0</v>
      </c>
      <c r="GP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64.319973682392927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>
        <f>VLOOKUP(A98,'Données projet'!$A$269:$I$289,2,0)</f>
        <v>198.7179487179487</v>
      </c>
      <c r="GS98" s="13">
        <f>VLOOKUP(A98,'Données projet'!$A$269:$I$289,9,0)</f>
        <v>2.6923076923076907</v>
      </c>
      <c r="GT98" s="13">
        <f t="array" ref="GT98">INDEX(GS:GS,MIN(IF(ISNUMBER(GS98:GS294),ROW(GS98:GS294),"")))</f>
        <v>2.6923076923076907</v>
      </c>
      <c r="GU98" s="13">
        <f>IF('Données projet'!$A$270&gt;35,GU97+GT98-HC97,IF(A98&lt;'Données projet'!$A$270,$GR$205^A98,IF(A98='Données projet'!$A$270,'Données projet'!$B$270,GU97+GT98-HC97)))</f>
        <v>198.71794871794876</v>
      </c>
      <c r="GV98" s="18">
        <f>GU98*VLOOKUP('Données projet'!$B$18,Paramètres!$A$1:$I$89,3,0)*VLOOKUP('Données projet'!$B$18,Paramètres!$A$1:$I$89,5,0)</f>
        <v>133.30000000000004</v>
      </c>
      <c r="GW98" s="14">
        <f t="shared" si="105"/>
        <v>34.757776388526544</v>
      </c>
      <c r="GX98" s="22">
        <f t="shared" si="82"/>
        <v>292.7006272100171</v>
      </c>
      <c r="GY98" s="62">
        <f t="shared" si="83"/>
        <v>565.20719737879119</v>
      </c>
      <c r="GZ98" s="62">
        <f ca="1">AVERAGE(OFFSET($GY$3,0,0,'Données projet'!$E$18+1,1))-AVERAGE(OFFSET($H$3,0,0,'Données projet'!$E$18+1,1))</f>
        <v>254.35742752782755</v>
      </c>
      <c r="HA98" s="62">
        <f t="shared" si="106"/>
        <v>171.79611712137395</v>
      </c>
      <c r="HB98" s="16">
        <f>IF(ISNA(VLOOKUP(A98,'Données projet'!$A$269:$I$289,3,0)),0,VLOOKUP(A98,'Données projet'!$A$269:$I$289,3,0))</f>
        <v>8</v>
      </c>
      <c r="HC98" s="16">
        <f>IF(ISNA(VLOOKUP(A98,'Données projet'!$A$269:$I$289,4,0)),0,VLOOKUP(A98,'Données projet'!$A$269:$I$289,4,0))</f>
        <v>16.666666666666668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>
        <f>EXP(-LN(2)/35)*HG97+(1-EXP(-LN(2)/35))/(LN(2)/35)*HC98*HD98*VLOOKUP('Données projet'!$B$18,Paramètres!$A$1:$I$89,3,0)*0.475*44/12</f>
        <v>0</v>
      </c>
      <c r="HH98" s="23">
        <f>EXP(-LN(2)/25)*HH97+(1-EXP(-LN(2)/25))/(LN(2)/25)*Calculateur!HC98*Calculateur!HE98*VLOOKUP('Données projet'!$B$18,Paramètres!$A$1:$I$89,3,0)*0.475*44/12</f>
        <v>0</v>
      </c>
      <c r="HI98" s="23">
        <f>EXP(-LN(2)/2)*HI97+(1-EXP(-LN(2)/2))/(LN(2)/2)*HC98*HF98*VLOOKUP('Données projet'!$B$18,Paramètres!$A$1:$I$89,3,0)*0.475*44/12</f>
        <v>0</v>
      </c>
      <c r="HJ98" s="24">
        <f t="shared" si="84"/>
        <v>0</v>
      </c>
    </row>
    <row r="99" spans="1:218" s="5" customFormat="1" x14ac:dyDescent="0.3">
      <c r="A99" s="11">
        <f t="shared" si="85"/>
        <v>96</v>
      </c>
      <c r="B99" s="76">
        <f>'Scénario référence'!$B$16*5+'Scénario référence'!$B$17*0+'Scénario référence'!$B$18*5</f>
        <v>3.9405000000000001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14.448500000000001</v>
      </c>
      <c r="H99" s="69">
        <f t="shared" si="56"/>
        <v>161.30656666666667</v>
      </c>
      <c r="I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64.418509440366961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210.54472399593521</v>
      </c>
      <c r="T99" s="62">
        <f t="shared" si="88"/>
        <v>181.14158435194193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64.418509440366961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1.0399999999999978</v>
      </c>
      <c r="AI99" s="14">
        <f>IF('Données projet'!$A$62&gt;35,AI98+AH99-AQ98,IF(A99&lt;'Données projet'!$A$62,$AF$205^A99,IF(A99='Données projet'!$A$62,'Données projet'!$B$62,AI98+AH99-AQ98)))</f>
        <v>312.33999999999992</v>
      </c>
      <c r="AJ99" s="14">
        <f>AI99*VLOOKUP('Données projet'!$B$10,Paramètres!$A$1:$I$89,3,0)*VLOOKUP('Données projet'!$B$10,Paramètres!$A$1:$I$89,5,0)</f>
        <v>162.41679999999997</v>
      </c>
      <c r="AK99" s="14">
        <f t="shared" si="89"/>
        <v>41.387154847720005</v>
      </c>
      <c r="AL99" s="22">
        <f t="shared" si="58"/>
        <v>354.95855469311232</v>
      </c>
      <c r="AM99" s="62">
        <f t="shared" si="59"/>
        <v>627.82642264112451</v>
      </c>
      <c r="AN99" s="62">
        <f ca="1">AVERAGE(OFFSET($AM$3,0,0,'Données projet'!$E$10+1,1))-AVERAGE(OFFSET($H$3,0,0,'Données projet'!$E$10+1,1))</f>
        <v>289.05608923588198</v>
      </c>
      <c r="AO99" s="62">
        <f t="shared" si="90"/>
        <v>220.06639020312738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64.418509440366961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1.4583333333333344</v>
      </c>
      <c r="BD99" s="13">
        <f>IF('Données projet'!$A$88&gt;35,BD98+BC99-BL98,IF(A99&lt;'Données projet'!$A$88,$BA$205^A99,IF(A99='Données projet'!$A$88,'Données projet'!$B$88,BD98+BC99-BL98)))</f>
        <v>105.9916666666666</v>
      </c>
      <c r="BE99" s="14">
        <f>BD99*VLOOKUP('Données projet'!$B$11,Paramètres!$A$1:$I$89,3,0)*VLOOKUP('Données projet'!$B$11,Paramètres!$A$1:$I$89,5,0)</f>
        <v>122.10239999999992</v>
      </c>
      <c r="BF99" s="14">
        <f t="shared" si="91"/>
        <v>32.164852806220239</v>
      </c>
      <c r="BG99" s="22">
        <f t="shared" si="61"/>
        <v>268.68213197083338</v>
      </c>
      <c r="BH99" s="62">
        <f t="shared" si="62"/>
        <v>541.54999991884551</v>
      </c>
      <c r="BI99" s="62">
        <f ca="1">AVERAGE(OFFSET($BH$3,0,0,'Données projet'!$E$11+1,1))-AVERAGE(OFFSET($H$3,0,0,'Données projet'!$E$11+1,1))</f>
        <v>299.54950406029354</v>
      </c>
      <c r="BJ99" s="62">
        <f t="shared" si="92"/>
        <v>208.26364698165739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64.418509440366961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2.6923076923076961</v>
      </c>
      <c r="BY99" s="13">
        <f>IF('Données projet'!$A$114&gt;35,BY98+BX99-CG98,IF(A99&lt;'Données projet'!$A$114,$BV$205^A99,IF(A99='Données projet'!$A$114,'Données projet'!$B$114,BY98+BX99-CG98)))</f>
        <v>223.20512820512818</v>
      </c>
      <c r="BZ99" s="14">
        <f>BY99*VLOOKUP('Données projet'!$B$12,Paramètres!$A$1:$I$89,3,0)*VLOOKUP('Données projet'!$B$12,Paramètres!$A$1:$I$89,5,0)</f>
        <v>240.25799999999998</v>
      </c>
      <c r="CA99" s="14">
        <f t="shared" si="93"/>
        <v>58.495036967441735</v>
      </c>
      <c r="CB99" s="22">
        <f t="shared" si="64"/>
        <v>520.3282060516276</v>
      </c>
      <c r="CC99" s="62">
        <f t="shared" si="65"/>
        <v>793.19607399963979</v>
      </c>
      <c r="CD99" s="62">
        <f ca="1">AVERAGE(OFFSET($CC$3,0,0,'Données projet'!$E$12+1,1))-AVERAGE(OFFSET($H$3,0,0,'Données projet'!$E$12+1,1))</f>
        <v>441.30518831297212</v>
      </c>
      <c r="CE99" s="62">
        <f t="shared" si="94"/>
        <v>270.42872405271851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64.418509440366961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-1.1368683772161603E-13</v>
      </c>
      <c r="CU99" s="18">
        <f>CT99*VLOOKUP('Données projet'!$B$13,Paramètres!$A$1:$I$89,3,0)*VLOOKUP('Données projet'!$B$13,Paramètres!$A$1:$I$89,5,0)</f>
        <v>-9.9316821433603781E-14</v>
      </c>
      <c r="CV99" s="14" t="e">
        <f t="shared" si="95"/>
        <v>#NUM!</v>
      </c>
      <c r="CW99" s="22" t="e">
        <f t="shared" si="67"/>
        <v>#NUM!</v>
      </c>
      <c r="CX99" s="62" t="e">
        <f t="shared" si="68"/>
        <v>#NUM!</v>
      </c>
      <c r="CY99" s="62">
        <f ca="1">AVERAGE(OFFSET($CX$3,0,0,'Données projet'!$E$13+1,1))-AVERAGE(OFFSET($H$3,0,0,'Données projet'!$E$13+1,1))</f>
        <v>310.81258463659196</v>
      </c>
      <c r="CZ99" s="62">
        <f t="shared" si="96"/>
        <v>287.31099756692083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64.418509440366961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2.6923076923076961</v>
      </c>
      <c r="DO99" s="13">
        <f>IF('Données projet'!$A$166&gt;35,DO98+DN99-DW98,IF(A99&lt;'Données projet'!$A$166,$DL$205^A99,IF(A99='Données projet'!$A$166,'Données projet'!$B$166,DO98+DN99-DW98)))</f>
        <v>223.20512820512818</v>
      </c>
      <c r="DP99" s="18">
        <f>DO99*VLOOKUP('Données projet'!$B$14,Paramètres!$A$1:$I$89,3,0)*VLOOKUP('Données projet'!$B$14,Paramètres!$A$1:$I$89,5,0)</f>
        <v>233.29399999999998</v>
      </c>
      <c r="DQ99" s="14">
        <f t="shared" si="97"/>
        <v>56.994330815285466</v>
      </c>
      <c r="DR99" s="22">
        <f t="shared" si="70"/>
        <v>505.58550950328885</v>
      </c>
      <c r="DS99" s="62">
        <f t="shared" si="71"/>
        <v>778.45337745130109</v>
      </c>
      <c r="DT99" s="62">
        <f ca="1">AVERAGE(OFFSET($DS$3,0,0,'Données projet'!$E$14+1,1))-AVERAGE(OFFSET($H$3,0,0,'Données projet'!$E$14+1,1))</f>
        <v>431.19274104373625</v>
      </c>
      <c r="DU99" s="62">
        <f t="shared" si="98"/>
        <v>264.67919175178133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64.418509440366961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8.1576923076923151</v>
      </c>
      <c r="EJ99" s="13">
        <f>IF('Données projet'!$A$192&gt;35,EJ98+EI99-ER98,IF(A99&lt;'Données projet'!$A$192,$EG$205^A99,IF(A99='Données projet'!$A$192,'Données projet'!$B$192,EJ98+EI99-ER98)))</f>
        <v>373.39615384615331</v>
      </c>
      <c r="EK99" s="18">
        <f>EJ99*VLOOKUP('Données projet'!$B$15,Paramètres!$A$1:$I$89,3,0)*VLOOKUP('Données projet'!$B$15,Paramètres!$A$1:$I$89,5,0)</f>
        <v>174.74939999999975</v>
      </c>
      <c r="EL99" s="14">
        <f t="shared" si="99"/>
        <v>44.152019355804249</v>
      </c>
      <c r="EM99" s="22">
        <f t="shared" si="73"/>
        <v>381.25330537802529</v>
      </c>
      <c r="EN99" s="62">
        <f t="shared" si="74"/>
        <v>654.12117332603748</v>
      </c>
      <c r="EO99" s="62">
        <f ca="1">AVERAGE(OFFSET($EN$3,0,0,'Données projet'!$E$15+1,1))-AVERAGE(OFFSET($H$3,0,0,'Données projet'!$E$15+1,1))</f>
        <v>291.68530745507815</v>
      </c>
      <c r="EP99" s="62">
        <f t="shared" si="100"/>
        <v>175.95121106728979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0</v>
      </c>
      <c r="EZ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64.418509440366961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-1.1368683772161603E-13</v>
      </c>
      <c r="FF99" s="18">
        <f>FE99*VLOOKUP('Données projet'!$B$16,Paramètres!$A$1:$I$89,3,0)*VLOOKUP('Données projet'!$B$16,Paramètres!$A$1:$I$89,5,0)</f>
        <v>-7.4487616075202823E-14</v>
      </c>
      <c r="FG99" s="14" t="e">
        <f t="shared" si="101"/>
        <v>#NUM!</v>
      </c>
      <c r="FH99" s="22" t="e">
        <f t="shared" si="76"/>
        <v>#NUM!</v>
      </c>
      <c r="FI99" s="62" t="e">
        <f t="shared" si="77"/>
        <v>#NUM!</v>
      </c>
      <c r="FJ99" s="62">
        <f ca="1">AVERAGE(OFFSET($FI$3,0,0,'Données projet'!$E$16+1,1))-AVERAGE(OFFSET($H$3,0,0,'Données projet'!$E$16+1,1))</f>
        <v>248.75689726928428</v>
      </c>
      <c r="FK99" s="62">
        <f t="shared" si="102"/>
        <v>232.02291680388336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projet'!$B$16,Paramètres!$A$1:$I$89,3,0)*0.475*44/12</f>
        <v>0</v>
      </c>
      <c r="FR99" s="23">
        <f>EXP(-LN(2)/25)*FR98+(1-EXP(-LN(2)/25))/(LN(2)/25)*Calculateur!FM99*Calculateur!FO99*VLOOKUP('Données projet'!$B$16,Paramètres!$A$1:$I$89,3,0)*0.475*44/12</f>
        <v>0</v>
      </c>
      <c r="FS99" s="23">
        <f>EXP(-LN(2)/2)*FS98+(1-EXP(-LN(2)/2))/(LN(2)/2)*FM99*FP99*VLOOKUP('Données projet'!$B$16,Paramètres!$A$1:$I$89,3,0)*0.475*44/12</f>
        <v>0</v>
      </c>
      <c r="FT99" s="24">
        <f t="shared" si="78"/>
        <v>0</v>
      </c>
      <c r="FU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64.418509440366961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5.1159076974727213E-13</v>
      </c>
      <c r="GA99" s="18">
        <f>FZ99*VLOOKUP('Données projet'!$B$17,Paramètres!$A$1:$I$89,3,0)*VLOOKUP('Données projet'!$B$17,Paramètres!$A$1:$I$89,5,0)</f>
        <v>3.0593128030886877E-13</v>
      </c>
      <c r="GB99" s="14">
        <f t="shared" si="103"/>
        <v>4.0350537939347394E-12</v>
      </c>
      <c r="GC99" s="22">
        <f t="shared" si="79"/>
        <v>7.5605490043076185E-12</v>
      </c>
      <c r="GD99" s="62">
        <f t="shared" si="80"/>
        <v>272.86786794801975</v>
      </c>
      <c r="GE99" s="62">
        <f ca="1">AVERAGE(OFFSET($GD$3,0,0,'Données projet'!$E$17+1,1))-AVERAGE(OFFSET($H$3,0,0,'Données projet'!$E$17+1,1))</f>
        <v>315.909549580511</v>
      </c>
      <c r="GF99" s="62">
        <f t="shared" si="104"/>
        <v>208.56856525402051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projet'!$B$17,Paramètres!$A$1:$I$89,3,0)*0.475*44/12</f>
        <v>0</v>
      </c>
      <c r="GM99" s="23">
        <f>EXP(-LN(2)/25)*GM98+(1-EXP(-LN(2)/25))/(LN(2)/25)*Calculateur!GH99*Calculateur!GJ99*VLOOKUP('Données projet'!$B$17,Paramètres!$A$1:$I$89,3,0)*0.475*44/12</f>
        <v>0</v>
      </c>
      <c r="GN99" s="23">
        <f>EXP(-LN(2)/2)*GN98+(1-EXP(-LN(2)/2))/(LN(2)/2)*GH99*GK99*VLOOKUP('Données projet'!$B$17,Paramètres!$A$1:$I$89,3,0)*0.475*44/12</f>
        <v>0</v>
      </c>
      <c r="GO99" s="23">
        <f t="shared" si="81"/>
        <v>0</v>
      </c>
      <c r="GP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64.418509440366961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2.5641025641025634</v>
      </c>
      <c r="GU99" s="13">
        <f>IF('Données projet'!$A$270&gt;35,GU98+GT99-HC98,IF(A99&lt;'Données projet'!$A$270,$GR$205^A99,IF(A99='Données projet'!$A$270,'Données projet'!$B$270,GU98+GT99-HC98)))</f>
        <v>184.61538461538467</v>
      </c>
      <c r="GV99" s="18">
        <f>GU99*VLOOKUP('Données projet'!$B$18,Paramètres!$A$1:$I$89,3,0)*VLOOKUP('Données projet'!$B$18,Paramètres!$A$1:$I$89,5,0)</f>
        <v>123.84000000000003</v>
      </c>
      <c r="GW99" s="14">
        <f t="shared" si="105"/>
        <v>32.568967770388099</v>
      </c>
      <c r="GX99" s="22">
        <f t="shared" si="82"/>
        <v>272.41228553342597</v>
      </c>
      <c r="GY99" s="62">
        <f t="shared" si="83"/>
        <v>545.28015348143822</v>
      </c>
      <c r="GZ99" s="62">
        <f ca="1">AVERAGE(OFFSET($GY$3,0,0,'Données projet'!$E$18+1,1))-AVERAGE(OFFSET($H$3,0,0,'Données projet'!$E$18+1,1))</f>
        <v>254.35742752782755</v>
      </c>
      <c r="HA99" s="62">
        <f t="shared" si="106"/>
        <v>171.79611712137395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>
        <f>EXP(-LN(2)/35)*HG98+(1-EXP(-LN(2)/35))/(LN(2)/35)*HC99*HD99*VLOOKUP('Données projet'!$B$18,Paramètres!$A$1:$I$89,3,0)*0.475*44/12</f>
        <v>0</v>
      </c>
      <c r="HH99" s="23">
        <f>EXP(-LN(2)/25)*HH98+(1-EXP(-LN(2)/25))/(LN(2)/25)*Calculateur!HC99*Calculateur!HE99*VLOOKUP('Données projet'!$B$18,Paramètres!$A$1:$I$89,3,0)*0.475*44/12</f>
        <v>0</v>
      </c>
      <c r="HI99" s="23">
        <f>EXP(-LN(2)/2)*HI98+(1-EXP(-LN(2)/2))/(LN(2)/2)*HC99*HF99*VLOOKUP('Données projet'!$B$18,Paramètres!$A$1:$I$89,3,0)*0.475*44/12</f>
        <v>0</v>
      </c>
      <c r="HJ99" s="24">
        <f t="shared" si="84"/>
        <v>0</v>
      </c>
    </row>
    <row r="100" spans="1:218" s="5" customFormat="1" x14ac:dyDescent="0.3">
      <c r="A100" s="11">
        <f t="shared" si="85"/>
        <v>97</v>
      </c>
      <c r="B100" s="76">
        <f>'Scénario référence'!$B$16*5+'Scénario référence'!$B$17*0+'Scénario référence'!$B$18*5</f>
        <v>3.9405000000000001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14.448500000000001</v>
      </c>
      <c r="H100" s="69">
        <f t="shared" si="56"/>
        <v>161.30656666666667</v>
      </c>
      <c r="I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64.515335823233102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210.54472399593521</v>
      </c>
      <c r="T100" s="62">
        <f t="shared" si="88"/>
        <v>181.14158435194193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64.515335823233102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1.0399999999999978</v>
      </c>
      <c r="AI100" s="14">
        <f>IF('Données projet'!$A$62&gt;35,AI99+AH100-AQ99,IF(A100&lt;'Données projet'!$A$62,$AF$205^A100,IF(A100='Données projet'!$A$62,'Données projet'!$B$62,AI99+AH100-AQ99)))</f>
        <v>313.37999999999994</v>
      </c>
      <c r="AJ100" s="14">
        <f>AI100*VLOOKUP('Données projet'!$B$10,Paramètres!$A$1:$I$89,3,0)*VLOOKUP('Données projet'!$B$10,Paramètres!$A$1:$I$89,5,0)</f>
        <v>162.95759999999999</v>
      </c>
      <c r="AK100" s="14">
        <f t="shared" si="89"/>
        <v>41.508897552694791</v>
      </c>
      <c r="AL100" s="22">
        <f t="shared" si="58"/>
        <v>356.11248323760998</v>
      </c>
      <c r="AM100" s="62">
        <f t="shared" si="59"/>
        <v>629.33538125613131</v>
      </c>
      <c r="AN100" s="62">
        <f ca="1">AVERAGE(OFFSET($AM$3,0,0,'Données projet'!$E$10+1,1))-AVERAGE(OFFSET($H$3,0,0,'Données projet'!$E$10+1,1))</f>
        <v>289.05608923588198</v>
      </c>
      <c r="AO100" s="62">
        <f t="shared" si="90"/>
        <v>220.06639020312738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64.515335823233102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1.4583333333333344</v>
      </c>
      <c r="BD100" s="13">
        <f>IF('Données projet'!$A$88&gt;35,BD99+BC100-BL99,IF(A100&lt;'Données projet'!$A$88,$BA$205^A100,IF(A100='Données projet'!$A$88,'Données projet'!$B$88,BD99+BC100-BL99)))</f>
        <v>107.44999999999993</v>
      </c>
      <c r="BE100" s="14">
        <f>BD100*VLOOKUP('Données projet'!$B$11,Paramètres!$A$1:$I$89,3,0)*VLOOKUP('Données projet'!$B$11,Paramètres!$A$1:$I$89,5,0)</f>
        <v>123.78239999999991</v>
      </c>
      <c r="BF100" s="14">
        <f t="shared" si="91"/>
        <v>32.555582319658349</v>
      </c>
      <c r="BG100" s="22">
        <f t="shared" si="61"/>
        <v>272.2886525400715</v>
      </c>
      <c r="BH100" s="62">
        <f t="shared" si="62"/>
        <v>545.51155055859294</v>
      </c>
      <c r="BI100" s="62">
        <f ca="1">AVERAGE(OFFSET($BH$3,0,0,'Données projet'!$E$11+1,1))-AVERAGE(OFFSET($H$3,0,0,'Données projet'!$E$11+1,1))</f>
        <v>299.54950406029354</v>
      </c>
      <c r="BJ100" s="62">
        <f t="shared" si="92"/>
        <v>208.26364698165739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64.515335823233102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2.6923076923076961</v>
      </c>
      <c r="BY100" s="13">
        <f>IF('Données projet'!$A$114&gt;35,BY99+BX100-CG99,IF(A100&lt;'Données projet'!$A$114,$BV$205^A100,IF(A100='Données projet'!$A$114,'Données projet'!$B$114,BY99+BX100-CG99)))</f>
        <v>225.89743589743588</v>
      </c>
      <c r="BZ100" s="14">
        <f>BY100*VLOOKUP('Données projet'!$B$12,Paramètres!$A$1:$I$89,3,0)*VLOOKUP('Données projet'!$B$12,Paramètres!$A$1:$I$89,5,0)</f>
        <v>243.15599999999995</v>
      </c>
      <c r="CA100" s="14">
        <f t="shared" si="93"/>
        <v>59.118042100772975</v>
      </c>
      <c r="CB100" s="22">
        <f t="shared" si="64"/>
        <v>526.46062332551276</v>
      </c>
      <c r="CC100" s="62">
        <f t="shared" si="65"/>
        <v>799.68352134403415</v>
      </c>
      <c r="CD100" s="62">
        <f ca="1">AVERAGE(OFFSET($CC$3,0,0,'Données projet'!$E$12+1,1))-AVERAGE(OFFSET($H$3,0,0,'Données projet'!$E$12+1,1))</f>
        <v>441.30518831297212</v>
      </c>
      <c r="CE100" s="62">
        <f t="shared" si="94"/>
        <v>270.42872405271851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64.515335823233102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-1.1368683772161603E-13</v>
      </c>
      <c r="CU100" s="18">
        <f>CT100*VLOOKUP('Données projet'!$B$13,Paramètres!$A$1:$I$89,3,0)*VLOOKUP('Données projet'!$B$13,Paramètres!$A$1:$I$89,5,0)</f>
        <v>-9.9316821433603781E-14</v>
      </c>
      <c r="CV100" s="14" t="e">
        <f t="shared" si="95"/>
        <v>#NUM!</v>
      </c>
      <c r="CW100" s="22" t="e">
        <f t="shared" si="67"/>
        <v>#NUM!</v>
      </c>
      <c r="CX100" s="62" t="e">
        <f t="shared" si="68"/>
        <v>#NUM!</v>
      </c>
      <c r="CY100" s="62">
        <f ca="1">AVERAGE(OFFSET($CX$3,0,0,'Données projet'!$E$13+1,1))-AVERAGE(OFFSET($H$3,0,0,'Données projet'!$E$13+1,1))</f>
        <v>310.81258463659196</v>
      </c>
      <c r="CZ100" s="62">
        <f t="shared" si="96"/>
        <v>287.31099756692083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64.515335823233102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2.6923076923076961</v>
      </c>
      <c r="DO100" s="13">
        <f>IF('Données projet'!$A$166&gt;35,DO99+DN100-DW99,IF(A100&lt;'Données projet'!$A$166,$DL$205^A100,IF(A100='Données projet'!$A$166,'Données projet'!$B$166,DO99+DN100-DW99)))</f>
        <v>225.89743589743588</v>
      </c>
      <c r="DP100" s="18">
        <f>DO100*VLOOKUP('Données projet'!$B$14,Paramètres!$A$1:$I$89,3,0)*VLOOKUP('Données projet'!$B$14,Paramètres!$A$1:$I$89,5,0)</f>
        <v>236.108</v>
      </c>
      <c r="DQ100" s="14">
        <f t="shared" si="97"/>
        <v>57.601352581738276</v>
      </c>
      <c r="DR100" s="22">
        <f t="shared" si="70"/>
        <v>511.5437890798608</v>
      </c>
      <c r="DS100" s="62">
        <f t="shared" si="71"/>
        <v>784.76668709838214</v>
      </c>
      <c r="DT100" s="62">
        <f ca="1">AVERAGE(OFFSET($DS$3,0,0,'Données projet'!$E$14+1,1))-AVERAGE(OFFSET($H$3,0,0,'Données projet'!$E$14+1,1))</f>
        <v>431.19274104373625</v>
      </c>
      <c r="DU100" s="62">
        <f t="shared" si="98"/>
        <v>264.67919175178133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64.515335823233102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8.1576923076923151</v>
      </c>
      <c r="EJ100" s="13">
        <f>IF('Données projet'!$A$192&gt;35,EJ99+EI100-ER99,IF(A100&lt;'Données projet'!$A$192,$EG$205^A100,IF(A100='Données projet'!$A$192,'Données projet'!$B$192,EJ99+EI100-ER99)))</f>
        <v>381.5538461538456</v>
      </c>
      <c r="EK100" s="18">
        <f>EJ100*VLOOKUP('Données projet'!$B$15,Paramètres!$A$1:$I$89,3,0)*VLOOKUP('Données projet'!$B$15,Paramètres!$A$1:$I$89,5,0)</f>
        <v>178.56719999999976</v>
      </c>
      <c r="EL100" s="14">
        <f t="shared" si="99"/>
        <v>45.003266447079469</v>
      </c>
      <c r="EM100" s="22">
        <f t="shared" si="73"/>
        <v>389.38522906199631</v>
      </c>
      <c r="EN100" s="62">
        <f t="shared" si="74"/>
        <v>662.60812708051776</v>
      </c>
      <c r="EO100" s="62">
        <f ca="1">AVERAGE(OFFSET($EN$3,0,0,'Données projet'!$E$15+1,1))-AVERAGE(OFFSET($H$3,0,0,'Données projet'!$E$15+1,1))</f>
        <v>291.68530745507815</v>
      </c>
      <c r="EP100" s="62">
        <f t="shared" si="100"/>
        <v>175.95121106728979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0</v>
      </c>
      <c r="EZ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64.515335823233102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-1.1368683772161603E-13</v>
      </c>
      <c r="FF100" s="18">
        <f>FE100*VLOOKUP('Données projet'!$B$16,Paramètres!$A$1:$I$89,3,0)*VLOOKUP('Données projet'!$B$16,Paramètres!$A$1:$I$89,5,0)</f>
        <v>-7.4487616075202823E-14</v>
      </c>
      <c r="FG100" s="14" t="e">
        <f t="shared" si="101"/>
        <v>#NUM!</v>
      </c>
      <c r="FH100" s="22" t="e">
        <f t="shared" si="76"/>
        <v>#NUM!</v>
      </c>
      <c r="FI100" s="62" t="e">
        <f t="shared" si="77"/>
        <v>#NUM!</v>
      </c>
      <c r="FJ100" s="62">
        <f ca="1">AVERAGE(OFFSET($FI$3,0,0,'Données projet'!$E$16+1,1))-AVERAGE(OFFSET($H$3,0,0,'Données projet'!$E$16+1,1))</f>
        <v>248.75689726928428</v>
      </c>
      <c r="FK100" s="62">
        <f t="shared" si="102"/>
        <v>232.02291680388336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projet'!$B$16,Paramètres!$A$1:$I$89,3,0)*0.475*44/12</f>
        <v>0</v>
      </c>
      <c r="FR100" s="23">
        <f>EXP(-LN(2)/25)*FR99+(1-EXP(-LN(2)/25))/(LN(2)/25)*Calculateur!FM100*Calculateur!FO100*VLOOKUP('Données projet'!$B$16,Paramètres!$A$1:$I$89,3,0)*0.475*44/12</f>
        <v>0</v>
      </c>
      <c r="FS100" s="23">
        <f>EXP(-LN(2)/2)*FS99+(1-EXP(-LN(2)/2))/(LN(2)/2)*FM100*FP100*VLOOKUP('Données projet'!$B$16,Paramètres!$A$1:$I$89,3,0)*0.475*44/12</f>
        <v>0</v>
      </c>
      <c r="FT100" s="24">
        <f t="shared" si="78"/>
        <v>0</v>
      </c>
      <c r="FU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64.515335823233102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5.1159076974727213E-13</v>
      </c>
      <c r="GA100" s="18">
        <f>FZ100*VLOOKUP('Données projet'!$B$17,Paramètres!$A$1:$I$89,3,0)*VLOOKUP('Données projet'!$B$17,Paramètres!$A$1:$I$89,5,0)</f>
        <v>3.0593128030886877E-13</v>
      </c>
      <c r="GB100" s="14">
        <f t="shared" si="103"/>
        <v>4.0350537939347394E-12</v>
      </c>
      <c r="GC100" s="22">
        <f t="shared" si="79"/>
        <v>7.5605490043076185E-12</v>
      </c>
      <c r="GD100" s="62">
        <f t="shared" si="80"/>
        <v>273.22289801852895</v>
      </c>
      <c r="GE100" s="62">
        <f ca="1">AVERAGE(OFFSET($GD$3,0,0,'Données projet'!$E$17+1,1))-AVERAGE(OFFSET($H$3,0,0,'Données projet'!$E$17+1,1))</f>
        <v>315.909549580511</v>
      </c>
      <c r="GF100" s="62">
        <f t="shared" si="104"/>
        <v>208.56856525402051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projet'!$B$17,Paramètres!$A$1:$I$89,3,0)*0.475*44/12</f>
        <v>0</v>
      </c>
      <c r="GM100" s="23">
        <f>EXP(-LN(2)/25)*GM99+(1-EXP(-LN(2)/25))/(LN(2)/25)*Calculateur!GH100*Calculateur!GJ100*VLOOKUP('Données projet'!$B$17,Paramètres!$A$1:$I$89,3,0)*0.475*44/12</f>
        <v>0</v>
      </c>
      <c r="GN100" s="23">
        <f>EXP(-LN(2)/2)*GN99+(1-EXP(-LN(2)/2))/(LN(2)/2)*GH100*GK100*VLOOKUP('Données projet'!$B$17,Paramètres!$A$1:$I$89,3,0)*0.475*44/12</f>
        <v>0</v>
      </c>
      <c r="GO100" s="23">
        <f t="shared" si="81"/>
        <v>0</v>
      </c>
      <c r="GP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64.515335823233102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2.5641025641025634</v>
      </c>
      <c r="GU100" s="13">
        <f>IF('Données projet'!$A$270&gt;35,GU99+GT100-HC99,IF(A100&lt;'Données projet'!$A$270,$GR$205^A100,IF(A100='Données projet'!$A$270,'Données projet'!$B$270,GU99+GT100-HC99)))</f>
        <v>187.17948717948724</v>
      </c>
      <c r="GV100" s="18">
        <f>GU100*VLOOKUP('Données projet'!$B$18,Paramètres!$A$1:$I$89,3,0)*VLOOKUP('Données projet'!$B$18,Paramètres!$A$1:$I$89,5,0)</f>
        <v>125.56000000000004</v>
      </c>
      <c r="GW100" s="14">
        <f t="shared" si="105"/>
        <v>32.968339952454812</v>
      </c>
      <c r="GX100" s="22">
        <f t="shared" si="82"/>
        <v>276.10352541719226</v>
      </c>
      <c r="GY100" s="62">
        <f t="shared" si="83"/>
        <v>549.32642343571365</v>
      </c>
      <c r="GZ100" s="62">
        <f ca="1">AVERAGE(OFFSET($GY$3,0,0,'Données projet'!$E$18+1,1))-AVERAGE(OFFSET($H$3,0,0,'Données projet'!$E$18+1,1))</f>
        <v>254.35742752782755</v>
      </c>
      <c r="HA100" s="62">
        <f t="shared" si="106"/>
        <v>171.79611712137395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>
        <f>EXP(-LN(2)/35)*HG99+(1-EXP(-LN(2)/35))/(LN(2)/35)*HC100*HD100*VLOOKUP('Données projet'!$B$18,Paramètres!$A$1:$I$89,3,0)*0.475*44/12</f>
        <v>0</v>
      </c>
      <c r="HH100" s="23">
        <f>EXP(-LN(2)/25)*HH99+(1-EXP(-LN(2)/25))/(LN(2)/25)*Calculateur!HC100*Calculateur!HE100*VLOOKUP('Données projet'!$B$18,Paramètres!$A$1:$I$89,3,0)*0.475*44/12</f>
        <v>0</v>
      </c>
      <c r="HI100" s="23">
        <f>EXP(-LN(2)/2)*HI99+(1-EXP(-LN(2)/2))/(LN(2)/2)*HC100*HF100*VLOOKUP('Données projet'!$B$18,Paramètres!$A$1:$I$89,3,0)*0.475*44/12</f>
        <v>0</v>
      </c>
      <c r="HJ100" s="24">
        <f t="shared" si="84"/>
        <v>0</v>
      </c>
    </row>
    <row r="101" spans="1:218" s="5" customFormat="1" x14ac:dyDescent="0.3">
      <c r="A101" s="11">
        <f t="shared" si="85"/>
        <v>98</v>
      </c>
      <c r="B101" s="76">
        <f>'Scénario référence'!$B$16*5+'Scénario référence'!$B$17*0+'Scénario référence'!$B$18*5</f>
        <v>3.9405000000000001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14.448500000000001</v>
      </c>
      <c r="H101" s="69">
        <f t="shared" si="56"/>
        <v>161.30656666666667</v>
      </c>
      <c r="I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64.610482484827855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210.54472399593521</v>
      </c>
      <c r="T101" s="62">
        <f t="shared" si="88"/>
        <v>181.14158435194193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64.610482484827855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1.0399999999999978</v>
      </c>
      <c r="AI101" s="14">
        <f>IF('Données projet'!$A$62&gt;35,AI100+AH101-AQ100,IF(A101&lt;'Données projet'!$A$62,$AF$205^A101,IF(A101='Données projet'!$A$62,'Données projet'!$B$62,AI100+AH101-AQ100)))</f>
        <v>314.41999999999996</v>
      </c>
      <c r="AJ101" s="14">
        <f>AI101*VLOOKUP('Données projet'!$B$10,Paramètres!$A$1:$I$89,3,0)*VLOOKUP('Données projet'!$B$10,Paramètres!$A$1:$I$89,5,0)</f>
        <v>163.49839999999998</v>
      </c>
      <c r="AK101" s="14">
        <f t="shared" si="89"/>
        <v>41.63059323850004</v>
      </c>
      <c r="AL101" s="22">
        <f t="shared" si="58"/>
        <v>357.26632989038745</v>
      </c>
      <c r="AM101" s="62">
        <f t="shared" si="59"/>
        <v>630.83809900142296</v>
      </c>
      <c r="AN101" s="62">
        <f ca="1">AVERAGE(OFFSET($AM$3,0,0,'Données projet'!$E$10+1,1))-AVERAGE(OFFSET($H$3,0,0,'Données projet'!$E$10+1,1))</f>
        <v>289.05608923588198</v>
      </c>
      <c r="AO101" s="62">
        <f t="shared" si="90"/>
        <v>220.06639020312738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64.610482484827855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1.4583333333333344</v>
      </c>
      <c r="BD101" s="13">
        <f>IF('Données projet'!$A$88&gt;35,BD100+BC101-BL100,IF(A101&lt;'Données projet'!$A$88,$BA$205^A101,IF(A101='Données projet'!$A$88,'Données projet'!$B$88,BD100+BC101-BL100)))</f>
        <v>108.90833333333326</v>
      </c>
      <c r="BE101" s="14">
        <f>BD101*VLOOKUP('Données projet'!$B$11,Paramètres!$A$1:$I$89,3,0)*VLOOKUP('Données projet'!$B$11,Paramètres!$A$1:$I$89,5,0)</f>
        <v>125.4623999999999</v>
      </c>
      <c r="BF101" s="14">
        <f t="shared" si="91"/>
        <v>32.945695024136818</v>
      </c>
      <c r="BG101" s="22">
        <f t="shared" si="61"/>
        <v>275.89409883370479</v>
      </c>
      <c r="BH101" s="62">
        <f t="shared" si="62"/>
        <v>549.46586794474024</v>
      </c>
      <c r="BI101" s="62">
        <f ca="1">AVERAGE(OFFSET($BH$3,0,0,'Données projet'!$E$11+1,1))-AVERAGE(OFFSET($H$3,0,0,'Données projet'!$E$11+1,1))</f>
        <v>299.54950406029354</v>
      </c>
      <c r="BJ101" s="62">
        <f t="shared" si="92"/>
        <v>208.26364698165739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64.610482484827855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2.6923076923076961</v>
      </c>
      <c r="BY101" s="13">
        <f>IF('Données projet'!$A$114&gt;35,BY100+BX101-CG100,IF(A101&lt;'Données projet'!$A$114,$BV$205^A101,IF(A101='Données projet'!$A$114,'Données projet'!$B$114,BY100+BX101-CG100)))</f>
        <v>228.58974358974359</v>
      </c>
      <c r="BZ101" s="14">
        <f>BY101*VLOOKUP('Données projet'!$B$12,Paramètres!$A$1:$I$89,3,0)*VLOOKUP('Données projet'!$B$12,Paramètres!$A$1:$I$89,5,0)</f>
        <v>246.054</v>
      </c>
      <c r="CA101" s="14">
        <f t="shared" si="93"/>
        <v>59.740183524680141</v>
      </c>
      <c r="CB101" s="22">
        <f t="shared" si="64"/>
        <v>532.59153630548462</v>
      </c>
      <c r="CC101" s="62">
        <f t="shared" si="65"/>
        <v>806.16330541652019</v>
      </c>
      <c r="CD101" s="62">
        <f ca="1">AVERAGE(OFFSET($CC$3,0,0,'Données projet'!$E$12+1,1))-AVERAGE(OFFSET($H$3,0,0,'Données projet'!$E$12+1,1))</f>
        <v>441.30518831297212</v>
      </c>
      <c r="CE101" s="62">
        <f t="shared" si="94"/>
        <v>270.42872405271851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64.610482484827855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-1.1368683772161603E-13</v>
      </c>
      <c r="CU101" s="18">
        <f>CT101*VLOOKUP('Données projet'!$B$13,Paramètres!$A$1:$I$89,3,0)*VLOOKUP('Données projet'!$B$13,Paramètres!$A$1:$I$89,5,0)</f>
        <v>-9.9316821433603781E-14</v>
      </c>
      <c r="CV101" s="14" t="e">
        <f t="shared" si="95"/>
        <v>#NUM!</v>
      </c>
      <c r="CW101" s="22" t="e">
        <f t="shared" si="67"/>
        <v>#NUM!</v>
      </c>
      <c r="CX101" s="62" t="e">
        <f t="shared" si="68"/>
        <v>#NUM!</v>
      </c>
      <c r="CY101" s="62">
        <f ca="1">AVERAGE(OFFSET($CX$3,0,0,'Données projet'!$E$13+1,1))-AVERAGE(OFFSET($H$3,0,0,'Données projet'!$E$13+1,1))</f>
        <v>310.81258463659196</v>
      </c>
      <c r="CZ101" s="62">
        <f t="shared" si="96"/>
        <v>287.31099756692083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64.610482484827855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2.6923076923076961</v>
      </c>
      <c r="DO101" s="13">
        <f>IF('Données projet'!$A$166&gt;35,DO100+DN101-DW100,IF(A101&lt;'Données projet'!$A$166,$DL$205^A101,IF(A101='Données projet'!$A$166,'Données projet'!$B$166,DO100+DN101-DW100)))</f>
        <v>228.58974358974359</v>
      </c>
      <c r="DP101" s="18">
        <f>DO101*VLOOKUP('Données projet'!$B$14,Paramètres!$A$1:$I$89,3,0)*VLOOKUP('Données projet'!$B$14,Paramètres!$A$1:$I$89,5,0)</f>
        <v>238.92200000000003</v>
      </c>
      <c r="DQ101" s="14">
        <f t="shared" si="97"/>
        <v>58.207532797468268</v>
      </c>
      <c r="DR101" s="22">
        <f t="shared" si="70"/>
        <v>517.50060295559058</v>
      </c>
      <c r="DS101" s="62">
        <f t="shared" si="71"/>
        <v>791.07237206662603</v>
      </c>
      <c r="DT101" s="62">
        <f ca="1">AVERAGE(OFFSET($DS$3,0,0,'Données projet'!$E$14+1,1))-AVERAGE(OFFSET($H$3,0,0,'Données projet'!$E$14+1,1))</f>
        <v>431.19274104373625</v>
      </c>
      <c r="DU101" s="62">
        <f t="shared" si="98"/>
        <v>264.67919175178133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64.610482484827855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8.1576923076923151</v>
      </c>
      <c r="EJ101" s="13">
        <f>IF('Données projet'!$A$192&gt;35,EJ100+EI101-ER100,IF(A101&lt;'Données projet'!$A$192,$EG$205^A101,IF(A101='Données projet'!$A$192,'Données projet'!$B$192,EJ100+EI101-ER100)))</f>
        <v>389.71153846153788</v>
      </c>
      <c r="EK101" s="18">
        <f>EJ101*VLOOKUP('Données projet'!$B$15,Paramètres!$A$1:$I$89,3,0)*VLOOKUP('Données projet'!$B$15,Paramètres!$A$1:$I$89,5,0)</f>
        <v>182.38499999999974</v>
      </c>
      <c r="EL101" s="14">
        <f t="shared" si="99"/>
        <v>45.852397542618846</v>
      </c>
      <c r="EM101" s="22">
        <f t="shared" si="73"/>
        <v>397.51346738672737</v>
      </c>
      <c r="EN101" s="62">
        <f t="shared" si="74"/>
        <v>671.08523649776293</v>
      </c>
      <c r="EO101" s="62">
        <f ca="1">AVERAGE(OFFSET($EN$3,0,0,'Données projet'!$E$15+1,1))-AVERAGE(OFFSET($H$3,0,0,'Données projet'!$E$15+1,1))</f>
        <v>291.68530745507815</v>
      </c>
      <c r="EP101" s="62">
        <f t="shared" si="100"/>
        <v>175.95121106728979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0</v>
      </c>
      <c r="EZ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64.610482484827855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-1.1368683772161603E-13</v>
      </c>
      <c r="FF101" s="18">
        <f>FE101*VLOOKUP('Données projet'!$B$16,Paramètres!$A$1:$I$89,3,0)*VLOOKUP('Données projet'!$B$16,Paramètres!$A$1:$I$89,5,0)</f>
        <v>-7.4487616075202823E-14</v>
      </c>
      <c r="FG101" s="14" t="e">
        <f t="shared" si="101"/>
        <v>#NUM!</v>
      </c>
      <c r="FH101" s="22" t="e">
        <f t="shared" si="76"/>
        <v>#NUM!</v>
      </c>
      <c r="FI101" s="62" t="e">
        <f t="shared" si="77"/>
        <v>#NUM!</v>
      </c>
      <c r="FJ101" s="62">
        <f ca="1">AVERAGE(OFFSET($FI$3,0,0,'Données projet'!$E$16+1,1))-AVERAGE(OFFSET($H$3,0,0,'Données projet'!$E$16+1,1))</f>
        <v>248.75689726928428</v>
      </c>
      <c r="FK101" s="62">
        <f t="shared" si="102"/>
        <v>232.02291680388336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projet'!$B$16,Paramètres!$A$1:$I$89,3,0)*0.475*44/12</f>
        <v>0</v>
      </c>
      <c r="FR101" s="23">
        <f>EXP(-LN(2)/25)*FR100+(1-EXP(-LN(2)/25))/(LN(2)/25)*Calculateur!FM101*Calculateur!FO101*VLOOKUP('Données projet'!$B$16,Paramètres!$A$1:$I$89,3,0)*0.475*44/12</f>
        <v>0</v>
      </c>
      <c r="FS101" s="23">
        <f>EXP(-LN(2)/2)*FS100+(1-EXP(-LN(2)/2))/(LN(2)/2)*FM101*FP101*VLOOKUP('Données projet'!$B$16,Paramètres!$A$1:$I$89,3,0)*0.475*44/12</f>
        <v>0</v>
      </c>
      <c r="FT101" s="24">
        <f t="shared" si="78"/>
        <v>0</v>
      </c>
      <c r="FU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64.610482484827855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5.1159076974727213E-13</v>
      </c>
      <c r="GA101" s="18">
        <f>FZ101*VLOOKUP('Données projet'!$B$17,Paramètres!$A$1:$I$89,3,0)*VLOOKUP('Données projet'!$B$17,Paramètres!$A$1:$I$89,5,0)</f>
        <v>3.0593128030886877E-13</v>
      </c>
      <c r="GB101" s="14">
        <f t="shared" si="103"/>
        <v>4.0350537939347394E-12</v>
      </c>
      <c r="GC101" s="22">
        <f t="shared" si="79"/>
        <v>7.5605490043076185E-12</v>
      </c>
      <c r="GD101" s="62">
        <f t="shared" si="80"/>
        <v>273.57176911104307</v>
      </c>
      <c r="GE101" s="62">
        <f ca="1">AVERAGE(OFFSET($GD$3,0,0,'Données projet'!$E$17+1,1))-AVERAGE(OFFSET($H$3,0,0,'Données projet'!$E$17+1,1))</f>
        <v>315.909549580511</v>
      </c>
      <c r="GF101" s="62">
        <f t="shared" si="104"/>
        <v>208.56856525402051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projet'!$B$17,Paramètres!$A$1:$I$89,3,0)*0.475*44/12</f>
        <v>0</v>
      </c>
      <c r="GM101" s="23">
        <f>EXP(-LN(2)/25)*GM100+(1-EXP(-LN(2)/25))/(LN(2)/25)*Calculateur!GH101*Calculateur!GJ101*VLOOKUP('Données projet'!$B$17,Paramètres!$A$1:$I$89,3,0)*0.475*44/12</f>
        <v>0</v>
      </c>
      <c r="GN101" s="23">
        <f>EXP(-LN(2)/2)*GN100+(1-EXP(-LN(2)/2))/(LN(2)/2)*GH101*GK101*VLOOKUP('Données projet'!$B$17,Paramètres!$A$1:$I$89,3,0)*0.475*44/12</f>
        <v>0</v>
      </c>
      <c r="GO101" s="23">
        <f t="shared" si="81"/>
        <v>0</v>
      </c>
      <c r="GP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64.610482484827855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2.5641025641025634</v>
      </c>
      <c r="GU101" s="13">
        <f>IF('Données projet'!$A$270&gt;35,GU100+GT101-HC100,IF(A101&lt;'Données projet'!$A$270,$GR$205^A101,IF(A101='Données projet'!$A$270,'Données projet'!$B$270,GU100+GT101-HC100)))</f>
        <v>189.74358974358981</v>
      </c>
      <c r="GV101" s="18">
        <f>GU101*VLOOKUP('Données projet'!$B$18,Paramètres!$A$1:$I$89,3,0)*VLOOKUP('Données projet'!$B$18,Paramètres!$A$1:$I$89,5,0)</f>
        <v>127.28000000000006</v>
      </c>
      <c r="GW101" s="14">
        <f t="shared" si="105"/>
        <v>33.367075813758639</v>
      </c>
      <c r="GX101" s="22">
        <f t="shared" si="82"/>
        <v>279.79365704229639</v>
      </c>
      <c r="GY101" s="62">
        <f t="shared" si="83"/>
        <v>553.3654261533319</v>
      </c>
      <c r="GZ101" s="62">
        <f ca="1">AVERAGE(OFFSET($GY$3,0,0,'Données projet'!$E$18+1,1))-AVERAGE(OFFSET($H$3,0,0,'Données projet'!$E$18+1,1))</f>
        <v>254.35742752782755</v>
      </c>
      <c r="HA101" s="62">
        <f t="shared" si="106"/>
        <v>171.79611712137395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>
        <f>EXP(-LN(2)/35)*HG100+(1-EXP(-LN(2)/35))/(LN(2)/35)*HC101*HD101*VLOOKUP('Données projet'!$B$18,Paramètres!$A$1:$I$89,3,0)*0.475*44/12</f>
        <v>0</v>
      </c>
      <c r="HH101" s="23">
        <f>EXP(-LN(2)/25)*HH100+(1-EXP(-LN(2)/25))/(LN(2)/25)*Calculateur!HC101*Calculateur!HE101*VLOOKUP('Données projet'!$B$18,Paramètres!$A$1:$I$89,3,0)*0.475*44/12</f>
        <v>0</v>
      </c>
      <c r="HI101" s="23">
        <f>EXP(-LN(2)/2)*HI100+(1-EXP(-LN(2)/2))/(LN(2)/2)*HC101*HF101*VLOOKUP('Données projet'!$B$18,Paramètres!$A$1:$I$89,3,0)*0.475*44/12</f>
        <v>0</v>
      </c>
      <c r="HJ101" s="24">
        <f t="shared" si="84"/>
        <v>0</v>
      </c>
    </row>
    <row r="102" spans="1:218" s="5" customFormat="1" x14ac:dyDescent="0.3">
      <c r="A102" s="11">
        <f t="shared" si="85"/>
        <v>99</v>
      </c>
      <c r="B102" s="76">
        <f>'Scénario référence'!$B$16*5+'Scénario référence'!$B$17*0+'Scénario référence'!$B$18*5</f>
        <v>3.9405000000000001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14.448500000000001</v>
      </c>
      <c r="H102" s="69">
        <f t="shared" si="56"/>
        <v>161.30656666666667</v>
      </c>
      <c r="I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64.703978564560032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210.54472399593521</v>
      </c>
      <c r="T102" s="62">
        <f t="shared" si="88"/>
        <v>181.14158435194193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64.703978564560032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1.0399999999999978</v>
      </c>
      <c r="AI102" s="14">
        <f>IF('Données projet'!$A$62&gt;35,AI101+AH102-AQ101,IF(A102&lt;'Données projet'!$A$62,$AF$205^A102,IF(A102='Données projet'!$A$62,'Données projet'!$B$62,AI101+AH102-AQ101)))</f>
        <v>315.45999999999998</v>
      </c>
      <c r="AJ102" s="14">
        <f>AI102*VLOOKUP('Données projet'!$B$10,Paramètres!$A$1:$I$89,3,0)*VLOOKUP('Données projet'!$B$10,Paramètres!$A$1:$I$89,5,0)</f>
        <v>164.03919999999999</v>
      </c>
      <c r="AK102" s="14">
        <f t="shared" si="89"/>
        <v>41.752242078730234</v>
      </c>
      <c r="AL102" s="22">
        <f t="shared" si="58"/>
        <v>358.42009495378852</v>
      </c>
      <c r="AM102" s="62">
        <f t="shared" si="59"/>
        <v>632.33468302384199</v>
      </c>
      <c r="AN102" s="62">
        <f ca="1">AVERAGE(OFFSET($AM$3,0,0,'Données projet'!$E$10+1,1))-AVERAGE(OFFSET($H$3,0,0,'Données projet'!$E$10+1,1))</f>
        <v>289.05608923588198</v>
      </c>
      <c r="AO102" s="62">
        <f t="shared" si="90"/>
        <v>220.06639020312738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64.703978564560032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1.4583333333333344</v>
      </c>
      <c r="BD102" s="13">
        <f>IF('Données projet'!$A$88&gt;35,BD101+BC102-BL101,IF(A102&lt;'Données projet'!$A$88,$BA$205^A102,IF(A102='Données projet'!$A$88,'Données projet'!$B$88,BD101+BC102-BL101)))</f>
        <v>110.36666666666659</v>
      </c>
      <c r="BE102" s="14">
        <f>BD102*VLOOKUP('Données projet'!$B$11,Paramètres!$A$1:$I$89,3,0)*VLOOKUP('Données projet'!$B$11,Paramètres!$A$1:$I$89,5,0)</f>
        <v>127.14239999999991</v>
      </c>
      <c r="BF102" s="14">
        <f t="shared" si="91"/>
        <v>33.335200133776368</v>
      </c>
      <c r="BG102" s="22">
        <f t="shared" si="61"/>
        <v>279.49848689966035</v>
      </c>
      <c r="BH102" s="62">
        <f t="shared" si="62"/>
        <v>553.41307496971376</v>
      </c>
      <c r="BI102" s="62">
        <f ca="1">AVERAGE(OFFSET($BH$3,0,0,'Données projet'!$E$11+1,1))-AVERAGE(OFFSET($H$3,0,0,'Données projet'!$E$11+1,1))</f>
        <v>299.54950406029354</v>
      </c>
      <c r="BJ102" s="62">
        <f t="shared" si="92"/>
        <v>208.26364698165739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64.703978564560032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2.6923076923076961</v>
      </c>
      <c r="BY102" s="13">
        <f>IF('Données projet'!$A$114&gt;35,BY101+BX102-CG101,IF(A102&lt;'Données projet'!$A$114,$BV$205^A102,IF(A102='Données projet'!$A$114,'Données projet'!$B$114,BY101+BX102-CG101)))</f>
        <v>231.2820512820513</v>
      </c>
      <c r="BZ102" s="14">
        <f>BY102*VLOOKUP('Données projet'!$B$12,Paramètres!$A$1:$I$89,3,0)*VLOOKUP('Données projet'!$B$12,Paramètres!$A$1:$I$89,5,0)</f>
        <v>248.952</v>
      </c>
      <c r="CA102" s="14">
        <f t="shared" si="93"/>
        <v>60.361472588695563</v>
      </c>
      <c r="CB102" s="22">
        <f t="shared" si="64"/>
        <v>538.72096475864475</v>
      </c>
      <c r="CC102" s="62">
        <f t="shared" si="65"/>
        <v>812.63555282869822</v>
      </c>
      <c r="CD102" s="62">
        <f ca="1">AVERAGE(OFFSET($CC$3,0,0,'Données projet'!$E$12+1,1))-AVERAGE(OFFSET($H$3,0,0,'Données projet'!$E$12+1,1))</f>
        <v>441.30518831297212</v>
      </c>
      <c r="CE102" s="62">
        <f t="shared" si="94"/>
        <v>270.42872405271851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64.703978564560032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-1.1368683772161603E-13</v>
      </c>
      <c r="CU102" s="18">
        <f>CT102*VLOOKUP('Données projet'!$B$13,Paramètres!$A$1:$I$89,3,0)*VLOOKUP('Données projet'!$B$13,Paramètres!$A$1:$I$89,5,0)</f>
        <v>-9.9316821433603781E-14</v>
      </c>
      <c r="CV102" s="14" t="e">
        <f t="shared" si="95"/>
        <v>#NUM!</v>
      </c>
      <c r="CW102" s="22" t="e">
        <f t="shared" si="67"/>
        <v>#NUM!</v>
      </c>
      <c r="CX102" s="62" t="e">
        <f t="shared" si="68"/>
        <v>#NUM!</v>
      </c>
      <c r="CY102" s="62">
        <f ca="1">AVERAGE(OFFSET($CX$3,0,0,'Données projet'!$E$13+1,1))-AVERAGE(OFFSET($H$3,0,0,'Données projet'!$E$13+1,1))</f>
        <v>310.81258463659196</v>
      </c>
      <c r="CZ102" s="62">
        <f t="shared" si="96"/>
        <v>287.31099756692083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64.703978564560032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2.6923076923076961</v>
      </c>
      <c r="DO102" s="13">
        <f>IF('Données projet'!$A$166&gt;35,DO101+DN102-DW101,IF(A102&lt;'Données projet'!$A$166,$DL$205^A102,IF(A102='Données projet'!$A$166,'Données projet'!$B$166,DO101+DN102-DW101)))</f>
        <v>231.2820512820513</v>
      </c>
      <c r="DP102" s="18">
        <f>DO102*VLOOKUP('Données projet'!$B$14,Paramètres!$A$1:$I$89,3,0)*VLOOKUP('Données projet'!$B$14,Paramètres!$A$1:$I$89,5,0)</f>
        <v>241.73600000000005</v>
      </c>
      <c r="DQ102" s="14">
        <f t="shared" si="97"/>
        <v>58.812882520832375</v>
      </c>
      <c r="DR102" s="22">
        <f t="shared" si="70"/>
        <v>523.45597039044981</v>
      </c>
      <c r="DS102" s="62">
        <f t="shared" si="71"/>
        <v>797.37055846050328</v>
      </c>
      <c r="DT102" s="62">
        <f ca="1">AVERAGE(OFFSET($DS$3,0,0,'Données projet'!$E$14+1,1))-AVERAGE(OFFSET($H$3,0,0,'Données projet'!$E$14+1,1))</f>
        <v>431.19274104373625</v>
      </c>
      <c r="DU102" s="62">
        <f t="shared" si="98"/>
        <v>264.67919175178133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64.703978564560032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>
        <f>VLOOKUP(A102,'Données projet'!$A$191:$I$211,2,0)</f>
        <v>397.8692307692308</v>
      </c>
      <c r="EH102" s="13">
        <f>VLOOKUP(A102,'Données projet'!$A$191:$I$211,9,0)</f>
        <v>8.1576923076923151</v>
      </c>
      <c r="EI102" s="13">
        <f t="array" ref="EI102">INDEX(EH:EH,MIN(IF(ISNUMBER(EH102:EH298),ROW(EH102:EH298),"")))</f>
        <v>8.1576923076923151</v>
      </c>
      <c r="EJ102" s="13">
        <f>IF('Données projet'!$A$192&gt;35,EJ101+EI102-ER101,IF(A102&lt;'Données projet'!$A$192,$EG$205^A102,IF(A102='Données projet'!$A$192,'Données projet'!$B$192,EJ101+EI102-ER101)))</f>
        <v>397.86923076923017</v>
      </c>
      <c r="EK102" s="18">
        <f>EJ102*VLOOKUP('Données projet'!$B$15,Paramètres!$A$1:$I$89,3,0)*VLOOKUP('Données projet'!$B$15,Paramètres!$A$1:$I$89,5,0)</f>
        <v>186.20279999999971</v>
      </c>
      <c r="EL102" s="14">
        <f t="shared" si="99"/>
        <v>46.699462038644107</v>
      </c>
      <c r="EM102" s="22">
        <f t="shared" si="73"/>
        <v>405.63810638397126</v>
      </c>
      <c r="EN102" s="62">
        <f t="shared" si="74"/>
        <v>679.55269445402473</v>
      </c>
      <c r="EO102" s="62">
        <f ca="1">AVERAGE(OFFSET($EN$3,0,0,'Données projet'!$E$15+1,1))-AVERAGE(OFFSET($H$3,0,0,'Données projet'!$E$15+1,1))</f>
        <v>291.68530745507815</v>
      </c>
      <c r="EP102" s="62">
        <f t="shared" si="100"/>
        <v>175.95121106728979</v>
      </c>
      <c r="EQ102" s="16">
        <f>IF(ISNA(VLOOKUP(A102,'Données projet'!$A$191:$I$211,3,0)),0,VLOOKUP(A102,'Données projet'!$A$191:$I$211,3,0))</f>
        <v>5</v>
      </c>
      <c r="ER102" s="16">
        <f>IF(ISNA(VLOOKUP(A102,'Données projet'!$A$191:$I$211,4,0)),0,VLOOKUP(A102,'Données projet'!$A$191:$I$211,4,0))</f>
        <v>198.32307692307691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0</v>
      </c>
      <c r="EZ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64.703978564560032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-1.1368683772161603E-13</v>
      </c>
      <c r="FF102" s="18">
        <f>FE102*VLOOKUP('Données projet'!$B$16,Paramètres!$A$1:$I$89,3,0)*VLOOKUP('Données projet'!$B$16,Paramètres!$A$1:$I$89,5,0)</f>
        <v>-7.4487616075202823E-14</v>
      </c>
      <c r="FG102" s="14" t="e">
        <f t="shared" si="101"/>
        <v>#NUM!</v>
      </c>
      <c r="FH102" s="22" t="e">
        <f t="shared" si="76"/>
        <v>#NUM!</v>
      </c>
      <c r="FI102" s="62" t="e">
        <f t="shared" si="77"/>
        <v>#NUM!</v>
      </c>
      <c r="FJ102" s="62">
        <f ca="1">AVERAGE(OFFSET($FI$3,0,0,'Données projet'!$E$16+1,1))-AVERAGE(OFFSET($H$3,0,0,'Données projet'!$E$16+1,1))</f>
        <v>248.75689726928428</v>
      </c>
      <c r="FK102" s="62">
        <f t="shared" si="102"/>
        <v>232.02291680388336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projet'!$B$16,Paramètres!$A$1:$I$89,3,0)*0.475*44/12</f>
        <v>0</v>
      </c>
      <c r="FR102" s="23">
        <f>EXP(-LN(2)/25)*FR101+(1-EXP(-LN(2)/25))/(LN(2)/25)*Calculateur!FM102*Calculateur!FO102*VLOOKUP('Données projet'!$B$16,Paramètres!$A$1:$I$89,3,0)*0.475*44/12</f>
        <v>0</v>
      </c>
      <c r="FS102" s="23">
        <f>EXP(-LN(2)/2)*FS101+(1-EXP(-LN(2)/2))/(LN(2)/2)*FM102*FP102*VLOOKUP('Données projet'!$B$16,Paramètres!$A$1:$I$89,3,0)*0.475*44/12</f>
        <v>0</v>
      </c>
      <c r="FT102" s="24">
        <f t="shared" si="78"/>
        <v>0</v>
      </c>
      <c r="FU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64.703978564560032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5.1159076974727213E-13</v>
      </c>
      <c r="GA102" s="18">
        <f>FZ102*VLOOKUP('Données projet'!$B$17,Paramètres!$A$1:$I$89,3,0)*VLOOKUP('Données projet'!$B$17,Paramètres!$A$1:$I$89,5,0)</f>
        <v>3.0593128030886877E-13</v>
      </c>
      <c r="GB102" s="14">
        <f t="shared" si="103"/>
        <v>4.0350537939347394E-12</v>
      </c>
      <c r="GC102" s="22">
        <f t="shared" si="79"/>
        <v>7.5605490043076185E-12</v>
      </c>
      <c r="GD102" s="62">
        <f t="shared" si="80"/>
        <v>273.91458807006103</v>
      </c>
      <c r="GE102" s="62">
        <f ca="1">AVERAGE(OFFSET($GD$3,0,0,'Données projet'!$E$17+1,1))-AVERAGE(OFFSET($H$3,0,0,'Données projet'!$E$17+1,1))</f>
        <v>315.909549580511</v>
      </c>
      <c r="GF102" s="62">
        <f t="shared" si="104"/>
        <v>208.56856525402051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projet'!$B$17,Paramètres!$A$1:$I$89,3,0)*0.475*44/12</f>
        <v>0</v>
      </c>
      <c r="GM102" s="23">
        <f>EXP(-LN(2)/25)*GM101+(1-EXP(-LN(2)/25))/(LN(2)/25)*Calculateur!GH102*Calculateur!GJ102*VLOOKUP('Données projet'!$B$17,Paramètres!$A$1:$I$89,3,0)*0.475*44/12</f>
        <v>0</v>
      </c>
      <c r="GN102" s="23">
        <f>EXP(-LN(2)/2)*GN101+(1-EXP(-LN(2)/2))/(LN(2)/2)*GH102*GK102*VLOOKUP('Données projet'!$B$17,Paramètres!$A$1:$I$89,3,0)*0.475*44/12</f>
        <v>0</v>
      </c>
      <c r="GO102" s="23">
        <f t="shared" si="81"/>
        <v>0</v>
      </c>
      <c r="GP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64.703978564560032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2.5641025641025634</v>
      </c>
      <c r="GU102" s="13">
        <f>IF('Données projet'!$A$270&gt;35,GU101+GT102-HC101,IF(A102&lt;'Données projet'!$A$270,$GR$205^A102,IF(A102='Données projet'!$A$270,'Données projet'!$B$270,GU101+GT102-HC101)))</f>
        <v>192.30769230769238</v>
      </c>
      <c r="GV102" s="18">
        <f>GU102*VLOOKUP('Données projet'!$B$18,Paramètres!$A$1:$I$89,3,0)*VLOOKUP('Données projet'!$B$18,Paramètres!$A$1:$I$89,5,0)</f>
        <v>129.00000000000006</v>
      </c>
      <c r="GW102" s="14">
        <f t="shared" si="105"/>
        <v>33.765184947185467</v>
      </c>
      <c r="GX102" s="22">
        <f t="shared" si="82"/>
        <v>283.48269711634811</v>
      </c>
      <c r="GY102" s="62">
        <f t="shared" si="83"/>
        <v>557.39728518640163</v>
      </c>
      <c r="GZ102" s="62">
        <f ca="1">AVERAGE(OFFSET($GY$3,0,0,'Données projet'!$E$18+1,1))-AVERAGE(OFFSET($H$3,0,0,'Données projet'!$E$18+1,1))</f>
        <v>254.35742752782755</v>
      </c>
      <c r="HA102" s="62">
        <f t="shared" si="106"/>
        <v>171.79611712137395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>
        <f>EXP(-LN(2)/35)*HG101+(1-EXP(-LN(2)/35))/(LN(2)/35)*HC102*HD102*VLOOKUP('Données projet'!$B$18,Paramètres!$A$1:$I$89,3,0)*0.475*44/12</f>
        <v>0</v>
      </c>
      <c r="HH102" s="23">
        <f>EXP(-LN(2)/25)*HH101+(1-EXP(-LN(2)/25))/(LN(2)/25)*Calculateur!HC102*Calculateur!HE102*VLOOKUP('Données projet'!$B$18,Paramètres!$A$1:$I$89,3,0)*0.475*44/12</f>
        <v>0</v>
      </c>
      <c r="HI102" s="23">
        <f>EXP(-LN(2)/2)*HI101+(1-EXP(-LN(2)/2))/(LN(2)/2)*HC102*HF102*VLOOKUP('Données projet'!$B$18,Paramètres!$A$1:$I$89,3,0)*0.475*44/12</f>
        <v>0</v>
      </c>
      <c r="HJ102" s="24">
        <f t="shared" si="84"/>
        <v>0</v>
      </c>
    </row>
    <row r="103" spans="1:218" s="5" customFormat="1" x14ac:dyDescent="0.3">
      <c r="A103" s="11">
        <f t="shared" si="85"/>
        <v>100</v>
      </c>
      <c r="B103" s="76">
        <f>'Scénario référence'!$B$16*5+'Scénario référence'!$B$17*0+'Scénario référence'!$B$18*5</f>
        <v>3.9405000000000001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14.448500000000001</v>
      </c>
      <c r="H103" s="69">
        <f t="shared" si="56"/>
        <v>161.30656666666667</v>
      </c>
      <c r="I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64.795852696334762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210.54472399593521</v>
      </c>
      <c r="T103" s="62">
        <f t="shared" si="88"/>
        <v>181.14158435194193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64.795852696334762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316.5</v>
      </c>
      <c r="AG103" s="13">
        <f>VLOOKUP(A103,'Données projet'!$A$61:$I$81,9,0)</f>
        <v>1.0399999999999978</v>
      </c>
      <c r="AH103" s="13">
        <f t="array" ref="AH103">INDEX(AG:AG,MIN(IF(ISNUMBER(AG103:AG299),ROW(AG103:AG299),"")))</f>
        <v>1.0399999999999978</v>
      </c>
      <c r="AI103" s="14">
        <f>IF('Données projet'!$A$62&gt;35,AI102+AH103-AQ102,IF(A103&lt;'Données projet'!$A$62,$AF$205^A103,IF(A103='Données projet'!$A$62,'Données projet'!$B$62,AI102+AH103-AQ102)))</f>
        <v>316.5</v>
      </c>
      <c r="AJ103" s="14">
        <f>AI103*VLOOKUP('Données projet'!$B$10,Paramètres!$A$1:$I$89,3,0)*VLOOKUP('Données projet'!$B$10,Paramètres!$A$1:$I$89,5,0)</f>
        <v>164.58</v>
      </c>
      <c r="AK103" s="14">
        <f t="shared" si="89"/>
        <v>41.873844245768836</v>
      </c>
      <c r="AL103" s="22">
        <f t="shared" si="58"/>
        <v>359.57377872804733</v>
      </c>
      <c r="AM103" s="62">
        <f t="shared" si="59"/>
        <v>633.82523861460811</v>
      </c>
      <c r="AN103" s="62">
        <f ca="1">AVERAGE(OFFSET($AM$3,0,0,'Données projet'!$E$10+1,1))-AVERAGE(OFFSET($H$3,0,0,'Données projet'!$E$10+1,1))</f>
        <v>289.05608923588198</v>
      </c>
      <c r="AO103" s="62">
        <f t="shared" si="90"/>
        <v>220.06639020312738</v>
      </c>
      <c r="AP103" s="16">
        <f>IF(ISNA(VLOOKUP(A103,'Données projet'!$A$61:$I$81,3,0)),0,VLOOKUP(A103,'Données projet'!$A$61:$I$81,3,0))</f>
        <v>1</v>
      </c>
      <c r="AQ103" s="16">
        <f>IF(ISNA(VLOOKUP(A103,'Données projet'!$A$61:$I$81,4,0)),0,VLOOKUP(A103,'Données projet'!$A$61:$I$81,4,0))</f>
        <v>316.5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64.795852696334762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111.825</v>
      </c>
      <c r="BB103" s="13">
        <f>VLOOKUP(A103,'Données projet'!$A$87:$I$107,9,0)</f>
        <v>1.4583333333333344</v>
      </c>
      <c r="BC103" s="13">
        <f t="array" ref="BC103">INDEX(BB:BB,MIN(IF(ISNUMBER(BB103:BB299),ROW(BB103:BB299),"")))</f>
        <v>1.4583333333333344</v>
      </c>
      <c r="BD103" s="13">
        <f>IF('Données projet'!$A$88&gt;35,BD102+BC103-BL102,IF(A103&lt;'Données projet'!$A$88,$BA$205^A103,IF(A103='Données projet'!$A$88,'Données projet'!$B$88,BD102+BC103-BL102)))</f>
        <v>111.82499999999992</v>
      </c>
      <c r="BE103" s="14">
        <f>BD103*VLOOKUP('Données projet'!$B$11,Paramètres!$A$1:$I$89,3,0)*VLOOKUP('Données projet'!$B$11,Paramètres!$A$1:$I$89,5,0)</f>
        <v>128.8223999999999</v>
      </c>
      <c r="BF103" s="14">
        <f t="shared" si="91"/>
        <v>33.72410660519936</v>
      </c>
      <c r="BG103" s="22">
        <f t="shared" si="61"/>
        <v>283.10183233738871</v>
      </c>
      <c r="BH103" s="62">
        <f t="shared" si="62"/>
        <v>557.35329222394944</v>
      </c>
      <c r="BI103" s="62">
        <f ca="1">AVERAGE(OFFSET($BH$3,0,0,'Données projet'!$E$11+1,1))-AVERAGE(OFFSET($H$3,0,0,'Données projet'!$E$11+1,1))</f>
        <v>299.54950406029354</v>
      </c>
      <c r="BJ103" s="62">
        <f t="shared" si="92"/>
        <v>208.26364698165739</v>
      </c>
      <c r="BK103" s="16">
        <f>IF(ISNA(VLOOKUP(A103,'Données projet'!$A$87:$I$107,3,0)),0,VLOOKUP(A103,'Données projet'!$A$87:$I$107,3,0))</f>
        <v>8</v>
      </c>
      <c r="BL103" s="16">
        <f>IF(ISNA(VLOOKUP(A103,'Données projet'!$A$87:$I$107,4,0)),0,VLOOKUP(A103,'Données projet'!$A$87:$I$107,4,0))</f>
        <v>9.125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64.795852696334762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233.97435897435898</v>
      </c>
      <c r="BW103" s="13">
        <f>VLOOKUP(A103,'Données projet'!$A$113:$I$133,9,0)</f>
        <v>2.6923076923076961</v>
      </c>
      <c r="BX103" s="13">
        <f t="array" ref="BX103">INDEX(BW:BW,MIN(IF(ISNUMBER(BW103:BW299),ROW(BW103:BW299),"")))</f>
        <v>2.6923076923076961</v>
      </c>
      <c r="BY103" s="13">
        <f>IF('Données projet'!$A$114&gt;35,BY102+BX103-CG102,IF(A103&lt;'Données projet'!$A$114,$BV$205^A103,IF(A103='Données projet'!$A$114,'Données projet'!$B$114,BY102+BX103-CG102)))</f>
        <v>233.97435897435901</v>
      </c>
      <c r="BZ103" s="14">
        <f>BY103*VLOOKUP('Données projet'!$B$12,Paramètres!$A$1:$I$89,3,0)*VLOOKUP('Données projet'!$B$12,Paramètres!$A$1:$I$89,5,0)</f>
        <v>251.85000000000002</v>
      </c>
      <c r="CA103" s="14">
        <f t="shared" si="93"/>
        <v>60.981920362908248</v>
      </c>
      <c r="CB103" s="22">
        <f t="shared" si="64"/>
        <v>544.8489279653985</v>
      </c>
      <c r="CC103" s="62">
        <f t="shared" si="65"/>
        <v>819.10038785195934</v>
      </c>
      <c r="CD103" s="62">
        <f ca="1">AVERAGE(OFFSET($CC$3,0,0,'Données projet'!$E$12+1,1))-AVERAGE(OFFSET($H$3,0,0,'Données projet'!$E$12+1,1))</f>
        <v>441.30518831297212</v>
      </c>
      <c r="CE103" s="62">
        <f t="shared" si="94"/>
        <v>270.42872405271851</v>
      </c>
      <c r="CF103" s="16">
        <f>IF(ISNA(VLOOKUP(A103,'Données projet'!$A$113:$I$133,3,0)),0,VLOOKUP(A103,'Données projet'!$A$113:$I$133,3,0))</f>
        <v>8</v>
      </c>
      <c r="CG103" s="16">
        <f>IF(ISNA(VLOOKUP(A103,'Données projet'!$A$113:$I$133,4,0)),0,VLOOKUP(A103,'Données projet'!$A$113:$I$133,4,0))</f>
        <v>16.025641025641026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64.795852696334762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-1.1368683772161603E-13</v>
      </c>
      <c r="CU103" s="18">
        <f>CT103*VLOOKUP('Données projet'!$B$13,Paramètres!$A$1:$I$89,3,0)*VLOOKUP('Données projet'!$B$13,Paramètres!$A$1:$I$89,5,0)</f>
        <v>-9.9316821433603781E-14</v>
      </c>
      <c r="CV103" s="14" t="e">
        <f t="shared" si="95"/>
        <v>#NUM!</v>
      </c>
      <c r="CW103" s="22" t="e">
        <f t="shared" si="67"/>
        <v>#NUM!</v>
      </c>
      <c r="CX103" s="62" t="e">
        <f t="shared" si="68"/>
        <v>#NUM!</v>
      </c>
      <c r="CY103" s="62">
        <f ca="1">AVERAGE(OFFSET($CX$3,0,0,'Données projet'!$E$13+1,1))-AVERAGE(OFFSET($H$3,0,0,'Données projet'!$E$13+1,1))</f>
        <v>310.81258463659196</v>
      </c>
      <c r="CZ103" s="62">
        <f t="shared" si="96"/>
        <v>287.31099756692083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64.795852696334762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>
        <f>VLOOKUP(A103,'Données projet'!$A$165:$I$185,2,0)</f>
        <v>233.97435897435898</v>
      </c>
      <c r="DM103" s="13">
        <f>VLOOKUP(A103,'Données projet'!$A$165:$I$185,9,0)</f>
        <v>2.6923076923076961</v>
      </c>
      <c r="DN103" s="13">
        <f t="array" ref="DN103">INDEX(DM:DM,MIN(IF(ISNUMBER(DM103:DM299),ROW(DM103:DM299),"")))</f>
        <v>2.6923076923076961</v>
      </c>
      <c r="DO103" s="13">
        <f>IF('Données projet'!$A$166&gt;35,DO102+DN103-DW102,IF(A103&lt;'Données projet'!$A$166,$DL$205^A103,IF(A103='Données projet'!$A$166,'Données projet'!$B$166,DO102+DN103-DW102)))</f>
        <v>233.97435897435901</v>
      </c>
      <c r="DP103" s="18">
        <f>DO103*VLOOKUP('Données projet'!$B$14,Paramètres!$A$1:$I$89,3,0)*VLOOKUP('Données projet'!$B$14,Paramètres!$A$1:$I$89,5,0)</f>
        <v>244.55000000000007</v>
      </c>
      <c r="DQ103" s="14">
        <f t="shared" si="97"/>
        <v>59.417412537913492</v>
      </c>
      <c r="DR103" s="22">
        <f t="shared" si="70"/>
        <v>529.40991017019951</v>
      </c>
      <c r="DS103" s="62">
        <f t="shared" si="71"/>
        <v>803.66137005676023</v>
      </c>
      <c r="DT103" s="62">
        <f ca="1">AVERAGE(OFFSET($DS$3,0,0,'Données projet'!$E$14+1,1))-AVERAGE(OFFSET($H$3,0,0,'Données projet'!$E$14+1,1))</f>
        <v>431.19274104373625</v>
      </c>
      <c r="DU103" s="62">
        <f t="shared" si="98"/>
        <v>264.67919175178133</v>
      </c>
      <c r="DV103" s="16">
        <f>IF(ISNA(VLOOKUP(A103,'Données projet'!$A$165:$I$185,3,0)),0,VLOOKUP(A103,'Données projet'!$A$165:$I$185,3,0))</f>
        <v>8</v>
      </c>
      <c r="DW103" s="16">
        <f>IF(ISNA(VLOOKUP(A103,'Données projet'!$A$165:$I$185,4,0)),0,VLOOKUP(A103,'Données projet'!$A$165:$I$185,4,0))</f>
        <v>16.025641025641026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64.795852696334762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5.849230769230763</v>
      </c>
      <c r="EJ103" s="13">
        <f>IF('Données projet'!$A$192&gt;35,EJ102+EI103-ER102,IF(A103&lt;'Données projet'!$A$192,$EG$205^A103,IF(A103='Données projet'!$A$192,'Données projet'!$B$192,EJ102+EI103-ER102)))</f>
        <v>205.39538461538402</v>
      </c>
      <c r="EK103" s="18">
        <f>EJ103*VLOOKUP('Données projet'!$B$15,Paramètres!$A$1:$I$89,3,0)*VLOOKUP('Données projet'!$B$15,Paramètres!$A$1:$I$89,5,0)</f>
        <v>96.125039999999714</v>
      </c>
      <c r="EL103" s="14">
        <f t="shared" si="99"/>
        <v>26.03672918496029</v>
      </c>
      <c r="EM103" s="22">
        <f t="shared" si="73"/>
        <v>212.76508133047199</v>
      </c>
      <c r="EN103" s="62">
        <f t="shared" si="74"/>
        <v>487.0165412170328</v>
      </c>
      <c r="EO103" s="62">
        <f ca="1">AVERAGE(OFFSET($EN$3,0,0,'Données projet'!$E$15+1,1))-AVERAGE(OFFSET($H$3,0,0,'Données projet'!$E$15+1,1))</f>
        <v>291.68530745507815</v>
      </c>
      <c r="EP103" s="62">
        <f t="shared" si="100"/>
        <v>175.95121106728979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0</v>
      </c>
      <c r="EZ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64.795852696334762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-1.1368683772161603E-13</v>
      </c>
      <c r="FF103" s="18">
        <f>FE103*VLOOKUP('Données projet'!$B$16,Paramètres!$A$1:$I$89,3,0)*VLOOKUP('Données projet'!$B$16,Paramètres!$A$1:$I$89,5,0)</f>
        <v>-7.4487616075202823E-14</v>
      </c>
      <c r="FG103" s="14" t="e">
        <f t="shared" si="101"/>
        <v>#NUM!</v>
      </c>
      <c r="FH103" s="22" t="e">
        <f t="shared" si="76"/>
        <v>#NUM!</v>
      </c>
      <c r="FI103" s="62" t="e">
        <f t="shared" si="77"/>
        <v>#NUM!</v>
      </c>
      <c r="FJ103" s="62">
        <f ca="1">AVERAGE(OFFSET($FI$3,0,0,'Données projet'!$E$16+1,1))-AVERAGE(OFFSET($H$3,0,0,'Données projet'!$E$16+1,1))</f>
        <v>248.75689726928428</v>
      </c>
      <c r="FK103" s="62">
        <f t="shared" si="102"/>
        <v>232.02291680388336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projet'!$B$16,Paramètres!$A$1:$I$89,3,0)*0.475*44/12</f>
        <v>0</v>
      </c>
      <c r="FR103" s="23">
        <f>EXP(-LN(2)/25)*FR102+(1-EXP(-LN(2)/25))/(LN(2)/25)*Calculateur!FM103*Calculateur!FO103*VLOOKUP('Données projet'!$B$16,Paramètres!$A$1:$I$89,3,0)*0.475*44/12</f>
        <v>0</v>
      </c>
      <c r="FS103" s="23">
        <f>EXP(-LN(2)/2)*FS102+(1-EXP(-LN(2)/2))/(LN(2)/2)*FM103*FP103*VLOOKUP('Données projet'!$B$16,Paramètres!$A$1:$I$89,3,0)*0.475*44/12</f>
        <v>0</v>
      </c>
      <c r="FT103" s="24">
        <f t="shared" si="78"/>
        <v>0</v>
      </c>
      <c r="FU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64.795852696334762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5.1159076974727213E-13</v>
      </c>
      <c r="GA103" s="18">
        <f>FZ103*VLOOKUP('Données projet'!$B$17,Paramètres!$A$1:$I$89,3,0)*VLOOKUP('Données projet'!$B$17,Paramètres!$A$1:$I$89,5,0)</f>
        <v>3.0593128030886877E-13</v>
      </c>
      <c r="GB103" s="14">
        <f t="shared" si="103"/>
        <v>4.0350537939347394E-12</v>
      </c>
      <c r="GC103" s="22">
        <f t="shared" si="79"/>
        <v>7.5605490043076185E-12</v>
      </c>
      <c r="GD103" s="62">
        <f t="shared" si="80"/>
        <v>274.25145988656834</v>
      </c>
      <c r="GE103" s="62">
        <f ca="1">AVERAGE(OFFSET($GD$3,0,0,'Données projet'!$E$17+1,1))-AVERAGE(OFFSET($H$3,0,0,'Données projet'!$E$17+1,1))</f>
        <v>315.909549580511</v>
      </c>
      <c r="GF103" s="62">
        <f t="shared" si="104"/>
        <v>208.56856525402051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projet'!$B$17,Paramètres!$A$1:$I$89,3,0)*0.475*44/12</f>
        <v>0</v>
      </c>
      <c r="GM103" s="23">
        <f>EXP(-LN(2)/25)*GM102+(1-EXP(-LN(2)/25))/(LN(2)/25)*Calculateur!GH103*Calculateur!GJ103*VLOOKUP('Données projet'!$B$17,Paramètres!$A$1:$I$89,3,0)*0.475*44/12</f>
        <v>0</v>
      </c>
      <c r="GN103" s="23">
        <f>EXP(-LN(2)/2)*GN102+(1-EXP(-LN(2)/2))/(LN(2)/2)*GH103*GK103*VLOOKUP('Données projet'!$B$17,Paramètres!$A$1:$I$89,3,0)*0.475*44/12</f>
        <v>0</v>
      </c>
      <c r="GO103" s="23">
        <f t="shared" si="81"/>
        <v>0</v>
      </c>
      <c r="GP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64.795852696334762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>
        <f>VLOOKUP(A103,'Données projet'!$A$269:$I$289,2,0)</f>
        <v>194.87179487179486</v>
      </c>
      <c r="GS103" s="13">
        <f>VLOOKUP(A103,'Données projet'!$A$269:$I$289,9,0)</f>
        <v>2.5641025641025634</v>
      </c>
      <c r="GT103" s="13">
        <f t="array" ref="GT103">INDEX(GS:GS,MIN(IF(ISNUMBER(GS103:GS299),ROW(GS103:GS299),"")))</f>
        <v>2.5641025641025634</v>
      </c>
      <c r="GU103" s="13">
        <f>IF('Données projet'!$A$270&gt;35,GU102+GT103-HC102,IF(A103&lt;'Données projet'!$A$270,$GR$205^A103,IF(A103='Données projet'!$A$270,'Données projet'!$B$270,GU102+GT103-HC102)))</f>
        <v>194.87179487179495</v>
      </c>
      <c r="GV103" s="18">
        <f>GU103*VLOOKUP('Données projet'!$B$18,Paramètres!$A$1:$I$89,3,0)*VLOOKUP('Données projet'!$B$18,Paramètres!$A$1:$I$89,5,0)</f>
        <v>130.72000000000006</v>
      </c>
      <c r="GW103" s="14">
        <f t="shared" si="105"/>
        <v>34.162676675108806</v>
      </c>
      <c r="GX103" s="22">
        <f t="shared" si="82"/>
        <v>287.17066187581457</v>
      </c>
      <c r="GY103" s="62">
        <f t="shared" si="83"/>
        <v>561.42212176237535</v>
      </c>
      <c r="GZ103" s="62">
        <f ca="1">AVERAGE(OFFSET($GY$3,0,0,'Données projet'!$E$18+1,1))-AVERAGE(OFFSET($H$3,0,0,'Données projet'!$E$18+1,1))</f>
        <v>254.35742752782755</v>
      </c>
      <c r="HA103" s="62">
        <f t="shared" si="106"/>
        <v>171.79611712137395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>
        <f>EXP(-LN(2)/35)*HG102+(1-EXP(-LN(2)/35))/(LN(2)/35)*HC103*HD103*VLOOKUP('Données projet'!$B$18,Paramètres!$A$1:$I$89,3,0)*0.475*44/12</f>
        <v>0</v>
      </c>
      <c r="HH103" s="23">
        <f>EXP(-LN(2)/25)*HH102+(1-EXP(-LN(2)/25))/(LN(2)/25)*Calculateur!HC103*Calculateur!HE103*VLOOKUP('Données projet'!$B$18,Paramètres!$A$1:$I$89,3,0)*0.475*44/12</f>
        <v>0</v>
      </c>
      <c r="HI103" s="23">
        <f>EXP(-LN(2)/2)*HI102+(1-EXP(-LN(2)/2))/(LN(2)/2)*HC103*HF103*VLOOKUP('Données projet'!$B$18,Paramètres!$A$1:$I$89,3,0)*0.475*44/12</f>
        <v>0</v>
      </c>
      <c r="HJ103" s="24">
        <f t="shared" si="84"/>
        <v>0</v>
      </c>
    </row>
    <row r="104" spans="1:218" s="5" customFormat="1" x14ac:dyDescent="0.3">
      <c r="A104" s="11">
        <f t="shared" si="85"/>
        <v>101</v>
      </c>
      <c r="B104" s="76">
        <f>'Scénario référence'!$B$16*5+'Scénario référence'!$B$17*0+'Scénario référence'!$B$18*5</f>
        <v>3.9405000000000001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14.448500000000001</v>
      </c>
      <c r="H104" s="69">
        <f t="shared" si="56"/>
        <v>161.30656666666667</v>
      </c>
      <c r="I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64.88613301732299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210.54472399593521</v>
      </c>
      <c r="T104" s="62">
        <f t="shared" si="88"/>
        <v>181.14158435194193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64.88613301732299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289.05608923588198</v>
      </c>
      <c r="AO104" s="62">
        <f t="shared" si="90"/>
        <v>220.06639020312738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64.88613301732299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1.3833333333333342</v>
      </c>
      <c r="BD104" s="13">
        <f>IF('Données projet'!$A$88&gt;35,BD103+BC104-BL103,IF(A104&lt;'Données projet'!$A$88,$BA$205^A104,IF(A104='Données projet'!$A$88,'Données projet'!$B$88,BD103+BC104-BL103)))</f>
        <v>104.08333333333326</v>
      </c>
      <c r="BE104" s="14">
        <f>BD104*VLOOKUP('Données projet'!$B$11,Paramètres!$A$1:$I$89,3,0)*VLOOKUP('Données projet'!$B$11,Paramètres!$A$1:$I$89,5,0)</f>
        <v>119.90399999999991</v>
      </c>
      <c r="BF104" s="14">
        <f t="shared" si="91"/>
        <v>31.65260782781338</v>
      </c>
      <c r="BG104" s="22">
        <f t="shared" si="61"/>
        <v>263.96109196677475</v>
      </c>
      <c r="BH104" s="62">
        <f t="shared" si="62"/>
        <v>538.54357969695911</v>
      </c>
      <c r="BI104" s="62">
        <f ca="1">AVERAGE(OFFSET($BH$3,0,0,'Données projet'!$E$11+1,1))-AVERAGE(OFFSET($H$3,0,0,'Données projet'!$E$11+1,1))</f>
        <v>299.54950406029354</v>
      </c>
      <c r="BJ104" s="62">
        <f t="shared" si="92"/>
        <v>208.26364698165739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64.88613301732299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2.4358974358974348</v>
      </c>
      <c r="BY104" s="13">
        <f>IF('Données projet'!$A$114&gt;35,BY103+BX104-CG103,IF(A104&lt;'Données projet'!$A$114,$BV$205^A104,IF(A104='Données projet'!$A$114,'Données projet'!$B$114,BY103+BX104-CG103)))</f>
        <v>220.38461538461542</v>
      </c>
      <c r="BZ104" s="14">
        <f>BY104*VLOOKUP('Données projet'!$B$12,Paramètres!$A$1:$I$89,3,0)*VLOOKUP('Données projet'!$B$12,Paramètres!$A$1:$I$89,5,0)</f>
        <v>237.22200000000004</v>
      </c>
      <c r="CA104" s="14">
        <f t="shared" si="93"/>
        <v>57.841425854670099</v>
      </c>
      <c r="CB104" s="22">
        <f t="shared" si="64"/>
        <v>513.90213336355043</v>
      </c>
      <c r="CC104" s="62">
        <f t="shared" si="65"/>
        <v>788.48462109373475</v>
      </c>
      <c r="CD104" s="62">
        <f ca="1">AVERAGE(OFFSET($CC$3,0,0,'Données projet'!$E$12+1,1))-AVERAGE(OFFSET($H$3,0,0,'Données projet'!$E$12+1,1))</f>
        <v>441.30518831297212</v>
      </c>
      <c r="CE104" s="62">
        <f t="shared" si="94"/>
        <v>270.42872405271851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64.88613301732299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-1.1368683772161603E-13</v>
      </c>
      <c r="CU104" s="18">
        <f>CT104*VLOOKUP('Données projet'!$B$13,Paramètres!$A$1:$I$89,3,0)*VLOOKUP('Données projet'!$B$13,Paramètres!$A$1:$I$89,5,0)</f>
        <v>-9.9316821433603781E-14</v>
      </c>
      <c r="CV104" s="14" t="e">
        <f t="shared" si="95"/>
        <v>#NUM!</v>
      </c>
      <c r="CW104" s="22" t="e">
        <f t="shared" si="67"/>
        <v>#NUM!</v>
      </c>
      <c r="CX104" s="62" t="e">
        <f t="shared" si="68"/>
        <v>#NUM!</v>
      </c>
      <c r="CY104" s="62">
        <f ca="1">AVERAGE(OFFSET($CX$3,0,0,'Données projet'!$E$13+1,1))-AVERAGE(OFFSET($H$3,0,0,'Données projet'!$E$13+1,1))</f>
        <v>310.81258463659196</v>
      </c>
      <c r="CZ104" s="62">
        <f t="shared" si="96"/>
        <v>287.31099756692083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64.88613301732299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2.4358974358974348</v>
      </c>
      <c r="DO104" s="13">
        <f>IF('Données projet'!$A$166&gt;35,DO103+DN104-DW103,IF(A104&lt;'Données projet'!$A$166,$DL$205^A104,IF(A104='Données projet'!$A$166,'Données projet'!$B$166,DO103+DN104-DW103)))</f>
        <v>220.38461538461542</v>
      </c>
      <c r="DP104" s="18">
        <f>DO104*VLOOKUP('Données projet'!$B$14,Paramètres!$A$1:$I$89,3,0)*VLOOKUP('Données projet'!$B$14,Paramètres!$A$1:$I$89,5,0)</f>
        <v>230.34600000000006</v>
      </c>
      <c r="DQ104" s="14">
        <f t="shared" si="97"/>
        <v>56.357488274155216</v>
      </c>
      <c r="DR104" s="22">
        <f t="shared" si="70"/>
        <v>499.34190874415384</v>
      </c>
      <c r="DS104" s="62">
        <f t="shared" si="71"/>
        <v>773.92439647433821</v>
      </c>
      <c r="DT104" s="62">
        <f ca="1">AVERAGE(OFFSET($DS$3,0,0,'Données projet'!$E$14+1,1))-AVERAGE(OFFSET($H$3,0,0,'Données projet'!$E$14+1,1))</f>
        <v>431.19274104373625</v>
      </c>
      <c r="DU104" s="62">
        <f t="shared" si="98"/>
        <v>264.67919175178133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64.88613301732299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5.849230769230763</v>
      </c>
      <c r="EJ104" s="13">
        <f>IF('Données projet'!$A$192&gt;35,EJ103+EI104-ER103,IF(A104&lt;'Données projet'!$A$192,$EG$205^A104,IF(A104='Données projet'!$A$192,'Données projet'!$B$192,EJ103+EI104-ER103)))</f>
        <v>211.24461538461478</v>
      </c>
      <c r="EK104" s="18">
        <f>EJ104*VLOOKUP('Données projet'!$B$15,Paramètres!$A$1:$I$89,3,0)*VLOOKUP('Données projet'!$B$15,Paramètres!$A$1:$I$89,5,0)</f>
        <v>98.862479999999707</v>
      </c>
      <c r="EL104" s="14">
        <f t="shared" si="99"/>
        <v>26.690818919395912</v>
      </c>
      <c r="EM104" s="22">
        <f t="shared" si="73"/>
        <v>218.67199561794735</v>
      </c>
      <c r="EN104" s="62">
        <f t="shared" si="74"/>
        <v>493.25448334813166</v>
      </c>
      <c r="EO104" s="62">
        <f ca="1">AVERAGE(OFFSET($EN$3,0,0,'Données projet'!$E$15+1,1))-AVERAGE(OFFSET($H$3,0,0,'Données projet'!$E$15+1,1))</f>
        <v>291.68530745507815</v>
      </c>
      <c r="EP104" s="62">
        <f t="shared" si="100"/>
        <v>175.95121106728979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0</v>
      </c>
      <c r="EZ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64.88613301732299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-1.1368683772161603E-13</v>
      </c>
      <c r="FF104" s="18">
        <f>FE104*VLOOKUP('Données projet'!$B$16,Paramètres!$A$1:$I$89,3,0)*VLOOKUP('Données projet'!$B$16,Paramètres!$A$1:$I$89,5,0)</f>
        <v>-7.4487616075202823E-14</v>
      </c>
      <c r="FG104" s="14" t="e">
        <f t="shared" si="101"/>
        <v>#NUM!</v>
      </c>
      <c r="FH104" s="22" t="e">
        <f t="shared" si="76"/>
        <v>#NUM!</v>
      </c>
      <c r="FI104" s="62" t="e">
        <f t="shared" si="77"/>
        <v>#NUM!</v>
      </c>
      <c r="FJ104" s="62">
        <f ca="1">AVERAGE(OFFSET($FI$3,0,0,'Données projet'!$E$16+1,1))-AVERAGE(OFFSET($H$3,0,0,'Données projet'!$E$16+1,1))</f>
        <v>248.75689726928428</v>
      </c>
      <c r="FK104" s="62">
        <f t="shared" si="102"/>
        <v>232.02291680388336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projet'!$B$16,Paramètres!$A$1:$I$89,3,0)*0.475*44/12</f>
        <v>0</v>
      </c>
      <c r="FR104" s="23">
        <f>EXP(-LN(2)/25)*FR103+(1-EXP(-LN(2)/25))/(LN(2)/25)*Calculateur!FM104*Calculateur!FO104*VLOOKUP('Données projet'!$B$16,Paramètres!$A$1:$I$89,3,0)*0.475*44/12</f>
        <v>0</v>
      </c>
      <c r="FS104" s="23">
        <f>EXP(-LN(2)/2)*FS103+(1-EXP(-LN(2)/2))/(LN(2)/2)*FM104*FP104*VLOOKUP('Données projet'!$B$16,Paramètres!$A$1:$I$89,3,0)*0.475*44/12</f>
        <v>0</v>
      </c>
      <c r="FT104" s="24">
        <f t="shared" si="78"/>
        <v>0</v>
      </c>
      <c r="FU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64.88613301732299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5.1159076974727213E-13</v>
      </c>
      <c r="GA104" s="18">
        <f>FZ104*VLOOKUP('Données projet'!$B$17,Paramètres!$A$1:$I$89,3,0)*VLOOKUP('Données projet'!$B$17,Paramètres!$A$1:$I$89,5,0)</f>
        <v>3.0593128030886877E-13</v>
      </c>
      <c r="GB104" s="14">
        <f t="shared" si="103"/>
        <v>4.0350537939347394E-12</v>
      </c>
      <c r="GC104" s="22">
        <f t="shared" si="79"/>
        <v>7.5605490043076185E-12</v>
      </c>
      <c r="GD104" s="62">
        <f t="shared" si="80"/>
        <v>274.58248773019187</v>
      </c>
      <c r="GE104" s="62">
        <f ca="1">AVERAGE(OFFSET($GD$3,0,0,'Données projet'!$E$17+1,1))-AVERAGE(OFFSET($H$3,0,0,'Données projet'!$E$17+1,1))</f>
        <v>315.909549580511</v>
      </c>
      <c r="GF104" s="62">
        <f t="shared" si="104"/>
        <v>208.56856525402051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projet'!$B$17,Paramètres!$A$1:$I$89,3,0)*0.475*44/12</f>
        <v>0</v>
      </c>
      <c r="GM104" s="23">
        <f>EXP(-LN(2)/25)*GM103+(1-EXP(-LN(2)/25))/(LN(2)/25)*Calculateur!GH104*Calculateur!GJ104*VLOOKUP('Données projet'!$B$17,Paramètres!$A$1:$I$89,3,0)*0.475*44/12</f>
        <v>0</v>
      </c>
      <c r="GN104" s="23">
        <f>EXP(-LN(2)/2)*GN103+(1-EXP(-LN(2)/2))/(LN(2)/2)*GH104*GK104*VLOOKUP('Données projet'!$B$17,Paramètres!$A$1:$I$89,3,0)*0.475*44/12</f>
        <v>0</v>
      </c>
      <c r="GO104" s="23">
        <f t="shared" si="81"/>
        <v>0</v>
      </c>
      <c r="GP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64.88613301732299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2.3076923076923093</v>
      </c>
      <c r="GU104" s="13">
        <f>IF('Données projet'!$A$270&gt;35,GU103+GT104-HC103,IF(A104&lt;'Données projet'!$A$270,$GR$205^A104,IF(A104='Données projet'!$A$270,'Données projet'!$B$270,GU103+GT104-HC103)))</f>
        <v>197.17948717948727</v>
      </c>
      <c r="GV104" s="18">
        <f>GU104*VLOOKUP('Données projet'!$B$18,Paramètres!$A$1:$I$89,3,0)*VLOOKUP('Données projet'!$B$18,Paramètres!$A$1:$I$89,5,0)</f>
        <v>132.26800000000006</v>
      </c>
      <c r="GW104" s="14">
        <f t="shared" si="105"/>
        <v>34.519898844249127</v>
      </c>
      <c r="GX104" s="22">
        <f t="shared" si="82"/>
        <v>290.48892382040066</v>
      </c>
      <c r="GY104" s="62">
        <f t="shared" si="83"/>
        <v>565.07141155058503</v>
      </c>
      <c r="GZ104" s="62">
        <f ca="1">AVERAGE(OFFSET($GY$3,0,0,'Données projet'!$E$18+1,1))-AVERAGE(OFFSET($H$3,0,0,'Données projet'!$E$18+1,1))</f>
        <v>254.35742752782755</v>
      </c>
      <c r="HA104" s="62">
        <f t="shared" si="106"/>
        <v>171.79611712137395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>
        <f>EXP(-LN(2)/35)*HG103+(1-EXP(-LN(2)/35))/(LN(2)/35)*HC104*HD104*VLOOKUP('Données projet'!$B$18,Paramètres!$A$1:$I$89,3,0)*0.475*44/12</f>
        <v>0</v>
      </c>
      <c r="HH104" s="23">
        <f>EXP(-LN(2)/25)*HH103+(1-EXP(-LN(2)/25))/(LN(2)/25)*Calculateur!HC104*Calculateur!HE104*VLOOKUP('Données projet'!$B$18,Paramètres!$A$1:$I$89,3,0)*0.475*44/12</f>
        <v>0</v>
      </c>
      <c r="HI104" s="23">
        <f>EXP(-LN(2)/2)*HI103+(1-EXP(-LN(2)/2))/(LN(2)/2)*HC104*HF104*VLOOKUP('Données projet'!$B$18,Paramètres!$A$1:$I$89,3,0)*0.475*44/12</f>
        <v>0</v>
      </c>
      <c r="HJ104" s="24">
        <f t="shared" si="84"/>
        <v>0</v>
      </c>
    </row>
    <row r="105" spans="1:218" s="5" customFormat="1" x14ac:dyDescent="0.3">
      <c r="A105" s="11">
        <f t="shared" si="85"/>
        <v>102</v>
      </c>
      <c r="B105" s="76">
        <f>'Scénario référence'!$B$16*5+'Scénario référence'!$B$17*0+'Scénario référence'!$B$18*5</f>
        <v>3.9405000000000001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14.448500000000001</v>
      </c>
      <c r="H105" s="69">
        <f t="shared" si="56"/>
        <v>161.30656666666667</v>
      </c>
      <c r="I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64.974847176578635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210.54472399593521</v>
      </c>
      <c r="T105" s="62">
        <f t="shared" si="88"/>
        <v>181.14158435194193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64.974847176578635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289.05608923588198</v>
      </c>
      <c r="AO105" s="62">
        <f t="shared" si="90"/>
        <v>220.06639020312738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64.974847176578635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1.3833333333333342</v>
      </c>
      <c r="BD105" s="13">
        <f>IF('Données projet'!$A$88&gt;35,BD104+BC105-BL104,IF(A105&lt;'Données projet'!$A$88,$BA$205^A105,IF(A105='Données projet'!$A$88,'Données projet'!$B$88,BD104+BC105-BL104)))</f>
        <v>105.4666666666666</v>
      </c>
      <c r="BE105" s="14">
        <f>BD105*VLOOKUP('Données projet'!$B$11,Paramètres!$A$1:$I$89,3,0)*VLOOKUP('Données projet'!$B$11,Paramètres!$A$1:$I$89,5,0)</f>
        <v>121.49759999999992</v>
      </c>
      <c r="BF105" s="14">
        <f t="shared" si="91"/>
        <v>32.024037368927388</v>
      </c>
      <c r="BG105" s="22">
        <f t="shared" si="61"/>
        <v>267.38351841754837</v>
      </c>
      <c r="BH105" s="62">
        <f t="shared" si="62"/>
        <v>542.29129139833674</v>
      </c>
      <c r="BI105" s="62">
        <f ca="1">AVERAGE(OFFSET($BH$3,0,0,'Données projet'!$E$11+1,1))-AVERAGE(OFFSET($H$3,0,0,'Données projet'!$E$11+1,1))</f>
        <v>299.54950406029354</v>
      </c>
      <c r="BJ105" s="62">
        <f t="shared" si="92"/>
        <v>208.26364698165739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64.974847176578635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2.4358974358974348</v>
      </c>
      <c r="BY105" s="13">
        <f>IF('Données projet'!$A$114&gt;35,BY104+BX105-CG104,IF(A105&lt;'Données projet'!$A$114,$BV$205^A105,IF(A105='Données projet'!$A$114,'Données projet'!$B$114,BY104+BX105-CG104)))</f>
        <v>222.82051282051285</v>
      </c>
      <c r="BZ105" s="14">
        <f>BY105*VLOOKUP('Données projet'!$B$12,Paramètres!$A$1:$I$89,3,0)*VLOOKUP('Données projet'!$B$12,Paramètres!$A$1:$I$89,5,0)</f>
        <v>239.84399999999999</v>
      </c>
      <c r="CA105" s="14">
        <f t="shared" si="93"/>
        <v>58.405965052237931</v>
      </c>
      <c r="CB105" s="22">
        <f t="shared" si="64"/>
        <v>519.45202246598103</v>
      </c>
      <c r="CC105" s="62">
        <f t="shared" si="65"/>
        <v>794.35979544676934</v>
      </c>
      <c r="CD105" s="62">
        <f ca="1">AVERAGE(OFFSET($CC$3,0,0,'Données projet'!$E$12+1,1))-AVERAGE(OFFSET($H$3,0,0,'Données projet'!$E$12+1,1))</f>
        <v>441.30518831297212</v>
      </c>
      <c r="CE105" s="62">
        <f t="shared" si="94"/>
        <v>270.42872405271851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64.974847176578635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-1.1368683772161603E-13</v>
      </c>
      <c r="CU105" s="18">
        <f>CT105*VLOOKUP('Données projet'!$B$13,Paramètres!$A$1:$I$89,3,0)*VLOOKUP('Données projet'!$B$13,Paramètres!$A$1:$I$89,5,0)</f>
        <v>-9.9316821433603781E-14</v>
      </c>
      <c r="CV105" s="14" t="e">
        <f t="shared" si="95"/>
        <v>#NUM!</v>
      </c>
      <c r="CW105" s="22" t="e">
        <f t="shared" si="67"/>
        <v>#NUM!</v>
      </c>
      <c r="CX105" s="62" t="e">
        <f t="shared" si="68"/>
        <v>#NUM!</v>
      </c>
      <c r="CY105" s="62">
        <f ca="1">AVERAGE(OFFSET($CX$3,0,0,'Données projet'!$E$13+1,1))-AVERAGE(OFFSET($H$3,0,0,'Données projet'!$E$13+1,1))</f>
        <v>310.81258463659196</v>
      </c>
      <c r="CZ105" s="62">
        <f t="shared" si="96"/>
        <v>287.31099756692083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64.974847176578635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2.4358974358974348</v>
      </c>
      <c r="DO105" s="13">
        <f>IF('Données projet'!$A$166&gt;35,DO104+DN105-DW104,IF(A105&lt;'Données projet'!$A$166,$DL$205^A105,IF(A105='Données projet'!$A$166,'Données projet'!$B$166,DO104+DN105-DW104)))</f>
        <v>222.82051282051285</v>
      </c>
      <c r="DP105" s="18">
        <f>DO105*VLOOKUP('Données projet'!$B$14,Paramètres!$A$1:$I$89,3,0)*VLOOKUP('Données projet'!$B$14,Paramètres!$A$1:$I$89,5,0)</f>
        <v>232.89200000000002</v>
      </c>
      <c r="DQ105" s="14">
        <f t="shared" si="97"/>
        <v>56.907544064397491</v>
      </c>
      <c r="DR105" s="22">
        <f t="shared" si="70"/>
        <v>504.73420591215904</v>
      </c>
      <c r="DS105" s="62">
        <f t="shared" si="71"/>
        <v>779.64197889294746</v>
      </c>
      <c r="DT105" s="62">
        <f ca="1">AVERAGE(OFFSET($DS$3,0,0,'Données projet'!$E$14+1,1))-AVERAGE(OFFSET($H$3,0,0,'Données projet'!$E$14+1,1))</f>
        <v>431.19274104373625</v>
      </c>
      <c r="DU105" s="62">
        <f t="shared" si="98"/>
        <v>264.67919175178133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64.974847176578635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5.849230769230763</v>
      </c>
      <c r="EJ105" s="13">
        <f>IF('Données projet'!$A$192&gt;35,EJ104+EI105-ER104,IF(A105&lt;'Données projet'!$A$192,$EG$205^A105,IF(A105='Données projet'!$A$192,'Données projet'!$B$192,EJ104+EI105-ER104)))</f>
        <v>217.09384615384553</v>
      </c>
      <c r="EK105" s="18">
        <f>EJ105*VLOOKUP('Données projet'!$B$15,Paramètres!$A$1:$I$89,3,0)*VLOOKUP('Données projet'!$B$15,Paramètres!$A$1:$I$89,5,0)</f>
        <v>101.59991999999971</v>
      </c>
      <c r="EL105" s="14">
        <f t="shared" si="99"/>
        <v>27.342803604001922</v>
      </c>
      <c r="EM105" s="22">
        <f t="shared" si="73"/>
        <v>224.57524361030281</v>
      </c>
      <c r="EN105" s="62">
        <f t="shared" si="74"/>
        <v>499.4830165910912</v>
      </c>
      <c r="EO105" s="62">
        <f ca="1">AVERAGE(OFFSET($EN$3,0,0,'Données projet'!$E$15+1,1))-AVERAGE(OFFSET($H$3,0,0,'Données projet'!$E$15+1,1))</f>
        <v>291.68530745507815</v>
      </c>
      <c r="EP105" s="62">
        <f t="shared" si="100"/>
        <v>175.95121106728979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0</v>
      </c>
      <c r="EZ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64.974847176578635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-1.1368683772161603E-13</v>
      </c>
      <c r="FF105" s="18">
        <f>FE105*VLOOKUP('Données projet'!$B$16,Paramètres!$A$1:$I$89,3,0)*VLOOKUP('Données projet'!$B$16,Paramètres!$A$1:$I$89,5,0)</f>
        <v>-7.4487616075202823E-14</v>
      </c>
      <c r="FG105" s="14" t="e">
        <f t="shared" si="101"/>
        <v>#NUM!</v>
      </c>
      <c r="FH105" s="22" t="e">
        <f t="shared" si="76"/>
        <v>#NUM!</v>
      </c>
      <c r="FI105" s="62" t="e">
        <f t="shared" si="77"/>
        <v>#NUM!</v>
      </c>
      <c r="FJ105" s="62">
        <f ca="1">AVERAGE(OFFSET($FI$3,0,0,'Données projet'!$E$16+1,1))-AVERAGE(OFFSET($H$3,0,0,'Données projet'!$E$16+1,1))</f>
        <v>248.75689726928428</v>
      </c>
      <c r="FK105" s="62">
        <f t="shared" si="102"/>
        <v>232.02291680388336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projet'!$B$16,Paramètres!$A$1:$I$89,3,0)*0.475*44/12</f>
        <v>0</v>
      </c>
      <c r="FR105" s="23">
        <f>EXP(-LN(2)/25)*FR104+(1-EXP(-LN(2)/25))/(LN(2)/25)*Calculateur!FM105*Calculateur!FO105*VLOOKUP('Données projet'!$B$16,Paramètres!$A$1:$I$89,3,0)*0.475*44/12</f>
        <v>0</v>
      </c>
      <c r="FS105" s="23">
        <f>EXP(-LN(2)/2)*FS104+(1-EXP(-LN(2)/2))/(LN(2)/2)*FM105*FP105*VLOOKUP('Données projet'!$B$16,Paramètres!$A$1:$I$89,3,0)*0.475*44/12</f>
        <v>0</v>
      </c>
      <c r="FT105" s="24">
        <f t="shared" si="78"/>
        <v>0</v>
      </c>
      <c r="FU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64.974847176578635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5.1159076974727213E-13</v>
      </c>
      <c r="GA105" s="18">
        <f>FZ105*VLOOKUP('Données projet'!$B$17,Paramètres!$A$1:$I$89,3,0)*VLOOKUP('Données projet'!$B$17,Paramètres!$A$1:$I$89,5,0)</f>
        <v>3.0593128030886877E-13</v>
      </c>
      <c r="GB105" s="14">
        <f t="shared" si="103"/>
        <v>4.0350537939347394E-12</v>
      </c>
      <c r="GC105" s="22">
        <f t="shared" si="79"/>
        <v>7.5605490043076185E-12</v>
      </c>
      <c r="GD105" s="62">
        <f t="shared" si="80"/>
        <v>274.90777298079593</v>
      </c>
      <c r="GE105" s="62">
        <f ca="1">AVERAGE(OFFSET($GD$3,0,0,'Données projet'!$E$17+1,1))-AVERAGE(OFFSET($H$3,0,0,'Données projet'!$E$17+1,1))</f>
        <v>315.909549580511</v>
      </c>
      <c r="GF105" s="62">
        <f t="shared" si="104"/>
        <v>208.56856525402051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projet'!$B$17,Paramètres!$A$1:$I$89,3,0)*0.475*44/12</f>
        <v>0</v>
      </c>
      <c r="GM105" s="23">
        <f>EXP(-LN(2)/25)*GM104+(1-EXP(-LN(2)/25))/(LN(2)/25)*Calculateur!GH105*Calculateur!GJ105*VLOOKUP('Données projet'!$B$17,Paramètres!$A$1:$I$89,3,0)*0.475*44/12</f>
        <v>0</v>
      </c>
      <c r="GN105" s="23">
        <f>EXP(-LN(2)/2)*GN104+(1-EXP(-LN(2)/2))/(LN(2)/2)*GH105*GK105*VLOOKUP('Données projet'!$B$17,Paramètres!$A$1:$I$89,3,0)*0.475*44/12</f>
        <v>0</v>
      </c>
      <c r="GO105" s="23">
        <f t="shared" si="81"/>
        <v>0</v>
      </c>
      <c r="GP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64.974847176578635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2.3076923076923093</v>
      </c>
      <c r="GU105" s="13">
        <f>IF('Données projet'!$A$270&gt;35,GU104+GT105-HC104,IF(A105&lt;'Données projet'!$A$270,$GR$205^A105,IF(A105='Données projet'!$A$270,'Données projet'!$B$270,GU104+GT105-HC104)))</f>
        <v>199.48717948717959</v>
      </c>
      <c r="GV105" s="18">
        <f>GU105*VLOOKUP('Données projet'!$B$18,Paramètres!$A$1:$I$89,3,0)*VLOOKUP('Données projet'!$B$18,Paramètres!$A$1:$I$89,5,0)</f>
        <v>133.81600000000006</v>
      </c>
      <c r="GW105" s="14">
        <f t="shared" si="105"/>
        <v>34.876634693250637</v>
      </c>
      <c r="GX105" s="22">
        <f t="shared" si="82"/>
        <v>293.80633875741159</v>
      </c>
      <c r="GY105" s="62">
        <f t="shared" si="83"/>
        <v>568.71411173820002</v>
      </c>
      <c r="GZ105" s="62">
        <f ca="1">AVERAGE(OFFSET($GY$3,0,0,'Données projet'!$E$18+1,1))-AVERAGE(OFFSET($H$3,0,0,'Données projet'!$E$18+1,1))</f>
        <v>254.35742752782755</v>
      </c>
      <c r="HA105" s="62">
        <f t="shared" si="106"/>
        <v>171.79611712137395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>
        <f>EXP(-LN(2)/35)*HG104+(1-EXP(-LN(2)/35))/(LN(2)/35)*HC105*HD105*VLOOKUP('Données projet'!$B$18,Paramètres!$A$1:$I$89,3,0)*0.475*44/12</f>
        <v>0</v>
      </c>
      <c r="HH105" s="23">
        <f>EXP(-LN(2)/25)*HH104+(1-EXP(-LN(2)/25))/(LN(2)/25)*Calculateur!HC105*Calculateur!HE105*VLOOKUP('Données projet'!$B$18,Paramètres!$A$1:$I$89,3,0)*0.475*44/12</f>
        <v>0</v>
      </c>
      <c r="HI105" s="23">
        <f>EXP(-LN(2)/2)*HI104+(1-EXP(-LN(2)/2))/(LN(2)/2)*HC105*HF105*VLOOKUP('Données projet'!$B$18,Paramètres!$A$1:$I$89,3,0)*0.475*44/12</f>
        <v>0</v>
      </c>
      <c r="HJ105" s="24">
        <f t="shared" si="84"/>
        <v>0</v>
      </c>
    </row>
    <row r="106" spans="1:218" s="5" customFormat="1" x14ac:dyDescent="0.3">
      <c r="A106" s="11">
        <f t="shared" si="85"/>
        <v>103</v>
      </c>
      <c r="B106" s="76">
        <f>'Scénario référence'!$B$16*5+'Scénario référence'!$B$17*0+'Scénario référence'!$B$18*5</f>
        <v>3.9405000000000001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14.448500000000001</v>
      </c>
      <c r="H106" s="69">
        <f t="shared" si="56"/>
        <v>161.30656666666667</v>
      </c>
      <c r="I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65.062022343506342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210.54472399593521</v>
      </c>
      <c r="T106" s="62">
        <f t="shared" si="88"/>
        <v>181.14158435194193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65.062022343506342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289.05608923588198</v>
      </c>
      <c r="AO106" s="62">
        <f t="shared" si="90"/>
        <v>220.06639020312738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65.062022343506342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1.3833333333333342</v>
      </c>
      <c r="BD106" s="13">
        <f>IF('Données projet'!$A$88&gt;35,BD105+BC106-BL105,IF(A106&lt;'Données projet'!$A$88,$BA$205^A106,IF(A106='Données projet'!$A$88,'Données projet'!$B$88,BD105+BC106-BL105)))</f>
        <v>106.84999999999994</v>
      </c>
      <c r="BE106" s="14">
        <f>BD106*VLOOKUP('Données projet'!$B$11,Paramètres!$A$1:$I$89,3,0)*VLOOKUP('Données projet'!$B$11,Paramètres!$A$1:$I$89,5,0)</f>
        <v>123.09119999999992</v>
      </c>
      <c r="BF106" s="14">
        <f t="shared" si="91"/>
        <v>32.394900249819841</v>
      </c>
      <c r="BG106" s="22">
        <f t="shared" si="61"/>
        <v>270.80495793510266</v>
      </c>
      <c r="BH106" s="62">
        <f t="shared" si="62"/>
        <v>546.03237319462596</v>
      </c>
      <c r="BI106" s="62">
        <f ca="1">AVERAGE(OFFSET($BH$3,0,0,'Données projet'!$E$11+1,1))-AVERAGE(OFFSET($H$3,0,0,'Données projet'!$E$11+1,1))</f>
        <v>299.54950406029354</v>
      </c>
      <c r="BJ106" s="62">
        <f t="shared" si="92"/>
        <v>208.26364698165739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65.062022343506342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2.4358974358974348</v>
      </c>
      <c r="BY106" s="13">
        <f>IF('Données projet'!$A$114&gt;35,BY105+BX106-CG105,IF(A106&lt;'Données projet'!$A$114,$BV$205^A106,IF(A106='Données projet'!$A$114,'Données projet'!$B$114,BY105+BX106-CG105)))</f>
        <v>225.25641025641028</v>
      </c>
      <c r="BZ106" s="14">
        <f>BY106*VLOOKUP('Données projet'!$B$12,Paramètres!$A$1:$I$89,3,0)*VLOOKUP('Données projet'!$B$12,Paramètres!$A$1:$I$89,5,0)</f>
        <v>242.46600000000004</v>
      </c>
      <c r="CA106" s="14">
        <f t="shared" si="93"/>
        <v>58.969786317048765</v>
      </c>
      <c r="CB106" s="22">
        <f t="shared" si="64"/>
        <v>525.00066116885989</v>
      </c>
      <c r="CC106" s="62">
        <f t="shared" si="65"/>
        <v>800.22807642838313</v>
      </c>
      <c r="CD106" s="62">
        <f ca="1">AVERAGE(OFFSET($CC$3,0,0,'Données projet'!$E$12+1,1))-AVERAGE(OFFSET($H$3,0,0,'Données projet'!$E$12+1,1))</f>
        <v>441.30518831297212</v>
      </c>
      <c r="CE106" s="62">
        <f t="shared" si="94"/>
        <v>270.42872405271851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65.062022343506342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-1.1368683772161603E-13</v>
      </c>
      <c r="CU106" s="18">
        <f>CT106*VLOOKUP('Données projet'!$B$13,Paramètres!$A$1:$I$89,3,0)*VLOOKUP('Données projet'!$B$13,Paramètres!$A$1:$I$89,5,0)</f>
        <v>-9.9316821433603781E-14</v>
      </c>
      <c r="CV106" s="14" t="e">
        <f t="shared" si="95"/>
        <v>#NUM!</v>
      </c>
      <c r="CW106" s="22" t="e">
        <f t="shared" si="67"/>
        <v>#NUM!</v>
      </c>
      <c r="CX106" s="62" t="e">
        <f t="shared" si="68"/>
        <v>#NUM!</v>
      </c>
      <c r="CY106" s="62">
        <f ca="1">AVERAGE(OFFSET($CX$3,0,0,'Données projet'!$E$13+1,1))-AVERAGE(OFFSET($H$3,0,0,'Données projet'!$E$13+1,1))</f>
        <v>310.81258463659196</v>
      </c>
      <c r="CZ106" s="62">
        <f t="shared" si="96"/>
        <v>287.31099756692083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65.062022343506342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2.4358974358974348</v>
      </c>
      <c r="DO106" s="13">
        <f>IF('Données projet'!$A$166&gt;35,DO105+DN106-DW105,IF(A106&lt;'Données projet'!$A$166,$DL$205^A106,IF(A106='Données projet'!$A$166,'Données projet'!$B$166,DO105+DN106-DW105)))</f>
        <v>225.25641025641028</v>
      </c>
      <c r="DP106" s="18">
        <f>DO106*VLOOKUP('Données projet'!$B$14,Paramètres!$A$1:$I$89,3,0)*VLOOKUP('Données projet'!$B$14,Paramètres!$A$1:$I$89,5,0)</f>
        <v>235.43800000000005</v>
      </c>
      <c r="DQ106" s="14">
        <f t="shared" si="97"/>
        <v>57.456900340643699</v>
      </c>
      <c r="DR106" s="22">
        <f t="shared" si="70"/>
        <v>510.12528475995447</v>
      </c>
      <c r="DS106" s="62">
        <f t="shared" si="71"/>
        <v>785.35270001947765</v>
      </c>
      <c r="DT106" s="62">
        <f ca="1">AVERAGE(OFFSET($DS$3,0,0,'Données projet'!$E$14+1,1))-AVERAGE(OFFSET($H$3,0,0,'Données projet'!$E$14+1,1))</f>
        <v>431.19274104373625</v>
      </c>
      <c r="DU106" s="62">
        <f t="shared" si="98"/>
        <v>264.67919175178133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65.062022343506342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5.849230769230763</v>
      </c>
      <c r="EJ106" s="13">
        <f>IF('Données projet'!$A$192&gt;35,EJ105+EI106-ER105,IF(A106&lt;'Données projet'!$A$192,$EG$205^A106,IF(A106='Données projet'!$A$192,'Données projet'!$B$192,EJ105+EI106-ER105)))</f>
        <v>222.94307692307629</v>
      </c>
      <c r="EK106" s="18">
        <f>EJ106*VLOOKUP('Données projet'!$B$15,Paramètres!$A$1:$I$89,3,0)*VLOOKUP('Données projet'!$B$15,Paramètres!$A$1:$I$89,5,0)</f>
        <v>104.33735999999971</v>
      </c>
      <c r="EL106" s="14">
        <f t="shared" si="99"/>
        <v>27.992746473996831</v>
      </c>
      <c r="EM106" s="22">
        <f t="shared" si="73"/>
        <v>230.47493544221061</v>
      </c>
      <c r="EN106" s="62">
        <f t="shared" si="74"/>
        <v>505.70235070173385</v>
      </c>
      <c r="EO106" s="62">
        <f ca="1">AVERAGE(OFFSET($EN$3,0,0,'Données projet'!$E$15+1,1))-AVERAGE(OFFSET($H$3,0,0,'Données projet'!$E$15+1,1))</f>
        <v>291.68530745507815</v>
      </c>
      <c r="EP106" s="62">
        <f t="shared" si="100"/>
        <v>175.95121106728979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0</v>
      </c>
      <c r="EZ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65.062022343506342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-1.1368683772161603E-13</v>
      </c>
      <c r="FF106" s="18">
        <f>FE106*VLOOKUP('Données projet'!$B$16,Paramètres!$A$1:$I$89,3,0)*VLOOKUP('Données projet'!$B$16,Paramètres!$A$1:$I$89,5,0)</f>
        <v>-7.4487616075202823E-14</v>
      </c>
      <c r="FG106" s="14" t="e">
        <f t="shared" si="101"/>
        <v>#NUM!</v>
      </c>
      <c r="FH106" s="22" t="e">
        <f t="shared" si="76"/>
        <v>#NUM!</v>
      </c>
      <c r="FI106" s="62" t="e">
        <f t="shared" si="77"/>
        <v>#NUM!</v>
      </c>
      <c r="FJ106" s="62">
        <f ca="1">AVERAGE(OFFSET($FI$3,0,0,'Données projet'!$E$16+1,1))-AVERAGE(OFFSET($H$3,0,0,'Données projet'!$E$16+1,1))</f>
        <v>248.75689726928428</v>
      </c>
      <c r="FK106" s="62">
        <f t="shared" si="102"/>
        <v>232.02291680388336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projet'!$B$16,Paramètres!$A$1:$I$89,3,0)*0.475*44/12</f>
        <v>0</v>
      </c>
      <c r="FR106" s="23">
        <f>EXP(-LN(2)/25)*FR105+(1-EXP(-LN(2)/25))/(LN(2)/25)*Calculateur!FM106*Calculateur!FO106*VLOOKUP('Données projet'!$B$16,Paramètres!$A$1:$I$89,3,0)*0.475*44/12</f>
        <v>0</v>
      </c>
      <c r="FS106" s="23">
        <f>EXP(-LN(2)/2)*FS105+(1-EXP(-LN(2)/2))/(LN(2)/2)*FM106*FP106*VLOOKUP('Données projet'!$B$16,Paramètres!$A$1:$I$89,3,0)*0.475*44/12</f>
        <v>0</v>
      </c>
      <c r="FT106" s="24">
        <f t="shared" si="78"/>
        <v>0</v>
      </c>
      <c r="FU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65.062022343506342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5.1159076974727213E-13</v>
      </c>
      <c r="GA106" s="18">
        <f>FZ106*VLOOKUP('Données projet'!$B$17,Paramètres!$A$1:$I$89,3,0)*VLOOKUP('Données projet'!$B$17,Paramètres!$A$1:$I$89,5,0)</f>
        <v>3.0593128030886877E-13</v>
      </c>
      <c r="GB106" s="14">
        <f t="shared" si="103"/>
        <v>4.0350537939347394E-12</v>
      </c>
      <c r="GC106" s="22">
        <f t="shared" si="79"/>
        <v>7.5605490043076185E-12</v>
      </c>
      <c r="GD106" s="62">
        <f t="shared" si="80"/>
        <v>275.2274152595308</v>
      </c>
      <c r="GE106" s="62">
        <f ca="1">AVERAGE(OFFSET($GD$3,0,0,'Données projet'!$E$17+1,1))-AVERAGE(OFFSET($H$3,0,0,'Données projet'!$E$17+1,1))</f>
        <v>315.909549580511</v>
      </c>
      <c r="GF106" s="62">
        <f t="shared" si="104"/>
        <v>208.56856525402051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projet'!$B$17,Paramètres!$A$1:$I$89,3,0)*0.475*44/12</f>
        <v>0</v>
      </c>
      <c r="GM106" s="23">
        <f>EXP(-LN(2)/25)*GM105+(1-EXP(-LN(2)/25))/(LN(2)/25)*Calculateur!GH106*Calculateur!GJ106*VLOOKUP('Données projet'!$B$17,Paramètres!$A$1:$I$89,3,0)*0.475*44/12</f>
        <v>0</v>
      </c>
      <c r="GN106" s="23">
        <f>EXP(-LN(2)/2)*GN105+(1-EXP(-LN(2)/2))/(LN(2)/2)*GH106*GK106*VLOOKUP('Données projet'!$B$17,Paramètres!$A$1:$I$89,3,0)*0.475*44/12</f>
        <v>0</v>
      </c>
      <c r="GO106" s="23">
        <f t="shared" si="81"/>
        <v>0</v>
      </c>
      <c r="GP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65.062022343506342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2.3076923076923093</v>
      </c>
      <c r="GU106" s="13">
        <f>IF('Données projet'!$A$270&gt;35,GU105+GT106-HC105,IF(A106&lt;'Données projet'!$A$270,$GR$205^A106,IF(A106='Données projet'!$A$270,'Données projet'!$B$270,GU105+GT106-HC105)))</f>
        <v>201.79487179487191</v>
      </c>
      <c r="GV106" s="18">
        <f>GU106*VLOOKUP('Données projet'!$B$18,Paramètres!$A$1:$I$89,3,0)*VLOOKUP('Données projet'!$B$18,Paramètres!$A$1:$I$89,5,0)</f>
        <v>135.36400000000009</v>
      </c>
      <c r="GW106" s="14">
        <f t="shared" si="105"/>
        <v>35.23289049882402</v>
      </c>
      <c r="GX106" s="22">
        <f t="shared" si="82"/>
        <v>297.12291761878532</v>
      </c>
      <c r="GY106" s="62">
        <f t="shared" si="83"/>
        <v>572.35033287830856</v>
      </c>
      <c r="GZ106" s="62">
        <f ca="1">AVERAGE(OFFSET($GY$3,0,0,'Données projet'!$E$18+1,1))-AVERAGE(OFFSET($H$3,0,0,'Données projet'!$E$18+1,1))</f>
        <v>254.35742752782755</v>
      </c>
      <c r="HA106" s="62">
        <f t="shared" si="106"/>
        <v>171.79611712137395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>
        <f>EXP(-LN(2)/35)*HG105+(1-EXP(-LN(2)/35))/(LN(2)/35)*HC106*HD106*VLOOKUP('Données projet'!$B$18,Paramètres!$A$1:$I$89,3,0)*0.475*44/12</f>
        <v>0</v>
      </c>
      <c r="HH106" s="23">
        <f>EXP(-LN(2)/25)*HH105+(1-EXP(-LN(2)/25))/(LN(2)/25)*Calculateur!HC106*Calculateur!HE106*VLOOKUP('Données projet'!$B$18,Paramètres!$A$1:$I$89,3,0)*0.475*44/12</f>
        <v>0</v>
      </c>
      <c r="HI106" s="23">
        <f>EXP(-LN(2)/2)*HI105+(1-EXP(-LN(2)/2))/(LN(2)/2)*HC106*HF106*VLOOKUP('Données projet'!$B$18,Paramètres!$A$1:$I$89,3,0)*0.475*44/12</f>
        <v>0</v>
      </c>
      <c r="HJ106" s="24">
        <f t="shared" si="84"/>
        <v>0</v>
      </c>
    </row>
    <row r="107" spans="1:218" s="5" customFormat="1" x14ac:dyDescent="0.3">
      <c r="A107" s="11">
        <f t="shared" si="85"/>
        <v>104</v>
      </c>
      <c r="B107" s="76">
        <f>'Scénario référence'!$B$16*5+'Scénario référence'!$B$17*0+'Scénario référence'!$B$18*5</f>
        <v>3.9405000000000001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14.448500000000001</v>
      </c>
      <c r="H107" s="69">
        <f t="shared" si="56"/>
        <v>161.30656666666667</v>
      </c>
      <c r="I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65.147685216182325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210.54472399593521</v>
      </c>
      <c r="T107" s="62">
        <f t="shared" si="88"/>
        <v>181.14158435194193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65.147685216182325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289.05608923588198</v>
      </c>
      <c r="AO107" s="62">
        <f t="shared" si="90"/>
        <v>220.06639020312738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65.147685216182325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1.3833333333333342</v>
      </c>
      <c r="BD107" s="13">
        <f>IF('Données projet'!$A$88&gt;35,BD106+BC107-BL106,IF(A107&lt;'Données projet'!$A$88,$BA$205^A107,IF(A107='Données projet'!$A$88,'Données projet'!$B$88,BD106+BC107-BL106)))</f>
        <v>108.23333333333328</v>
      </c>
      <c r="BE107" s="14">
        <f>BD107*VLOOKUP('Données projet'!$B$11,Paramètres!$A$1:$I$89,3,0)*VLOOKUP('Données projet'!$B$11,Paramètres!$A$1:$I$89,5,0)</f>
        <v>124.68479999999992</v>
      </c>
      <c r="BF107" s="14">
        <f t="shared" si="91"/>
        <v>32.765204654989468</v>
      </c>
      <c r="BG107" s="22">
        <f t="shared" si="61"/>
        <v>274.2254247741065</v>
      </c>
      <c r="BH107" s="62">
        <f t="shared" si="62"/>
        <v>549.76693723344169</v>
      </c>
      <c r="BI107" s="62">
        <f ca="1">AVERAGE(OFFSET($BH$3,0,0,'Données projet'!$E$11+1,1))-AVERAGE(OFFSET($H$3,0,0,'Données projet'!$E$11+1,1))</f>
        <v>299.54950406029354</v>
      </c>
      <c r="BJ107" s="62">
        <f t="shared" si="92"/>
        <v>208.26364698165739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65.147685216182325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2.4358974358974348</v>
      </c>
      <c r="BY107" s="13">
        <f>IF('Données projet'!$A$114&gt;35,BY106+BX107-CG106,IF(A107&lt;'Données projet'!$A$114,$BV$205^A107,IF(A107='Données projet'!$A$114,'Données projet'!$B$114,BY106+BX107-CG106)))</f>
        <v>227.69230769230771</v>
      </c>
      <c r="BZ107" s="14">
        <f>BY107*VLOOKUP('Données projet'!$B$12,Paramètres!$A$1:$I$89,3,0)*VLOOKUP('Données projet'!$B$12,Paramètres!$A$1:$I$89,5,0)</f>
        <v>245.08799999999999</v>
      </c>
      <c r="CA107" s="14">
        <f t="shared" si="93"/>
        <v>59.532898311321155</v>
      </c>
      <c r="CB107" s="22">
        <f t="shared" si="64"/>
        <v>530.54806455888422</v>
      </c>
      <c r="CC107" s="62">
        <f t="shared" si="65"/>
        <v>806.08957701821942</v>
      </c>
      <c r="CD107" s="62">
        <f ca="1">AVERAGE(OFFSET($CC$3,0,0,'Données projet'!$E$12+1,1))-AVERAGE(OFFSET($H$3,0,0,'Données projet'!$E$12+1,1))</f>
        <v>441.30518831297212</v>
      </c>
      <c r="CE107" s="62">
        <f t="shared" si="94"/>
        <v>270.42872405271851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65.147685216182325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-1.1368683772161603E-13</v>
      </c>
      <c r="CU107" s="18">
        <f>CT107*VLOOKUP('Données projet'!$B$13,Paramètres!$A$1:$I$89,3,0)*VLOOKUP('Données projet'!$B$13,Paramètres!$A$1:$I$89,5,0)</f>
        <v>-9.9316821433603781E-14</v>
      </c>
      <c r="CV107" s="14" t="e">
        <f t="shared" si="95"/>
        <v>#NUM!</v>
      </c>
      <c r="CW107" s="22" t="e">
        <f t="shared" si="67"/>
        <v>#NUM!</v>
      </c>
      <c r="CX107" s="62" t="e">
        <f t="shared" si="68"/>
        <v>#NUM!</v>
      </c>
      <c r="CY107" s="62">
        <f ca="1">AVERAGE(OFFSET($CX$3,0,0,'Données projet'!$E$13+1,1))-AVERAGE(OFFSET($H$3,0,0,'Données projet'!$E$13+1,1))</f>
        <v>310.81258463659196</v>
      </c>
      <c r="CZ107" s="62">
        <f t="shared" si="96"/>
        <v>287.31099756692083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65.147685216182325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2.4358974358974348</v>
      </c>
      <c r="DO107" s="13">
        <f>IF('Données projet'!$A$166&gt;35,DO106+DN107-DW106,IF(A107&lt;'Données projet'!$A$166,$DL$205^A107,IF(A107='Données projet'!$A$166,'Données projet'!$B$166,DO106+DN107-DW106)))</f>
        <v>227.69230769230771</v>
      </c>
      <c r="DP107" s="18">
        <f>DO107*VLOOKUP('Données projet'!$B$14,Paramètres!$A$1:$I$89,3,0)*VLOOKUP('Données projet'!$B$14,Paramètres!$A$1:$I$89,5,0)</f>
        <v>237.98400000000004</v>
      </c>
      <c r="DQ107" s="14">
        <f t="shared" si="97"/>
        <v>58.00556554288093</v>
      </c>
      <c r="DR107" s="22">
        <f t="shared" si="70"/>
        <v>515.51515998718435</v>
      </c>
      <c r="DS107" s="62">
        <f t="shared" si="71"/>
        <v>791.05667244651954</v>
      </c>
      <c r="DT107" s="62">
        <f ca="1">AVERAGE(OFFSET($DS$3,0,0,'Données projet'!$E$14+1,1))-AVERAGE(OFFSET($H$3,0,0,'Données projet'!$E$14+1,1))</f>
        <v>431.19274104373625</v>
      </c>
      <c r="DU107" s="62">
        <f t="shared" si="98"/>
        <v>264.67919175178133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65.147685216182325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>
        <f>VLOOKUP(A107,'Données projet'!$A$191:$I$211,2,0)</f>
        <v>228.7923076923077</v>
      </c>
      <c r="EH107" s="13">
        <f>VLOOKUP(A107,'Données projet'!$A$191:$I$211,9,0)</f>
        <v>5.849230769230763</v>
      </c>
      <c r="EI107" s="13">
        <f t="array" ref="EI107">INDEX(EH:EH,MIN(IF(ISNUMBER(EH107:EH303),ROW(EH107:EH303),"")))</f>
        <v>5.849230769230763</v>
      </c>
      <c r="EJ107" s="13">
        <f>IF('Données projet'!$A$192&gt;35,EJ106+EI107-ER106,IF(A107&lt;'Données projet'!$A$192,$EG$205^A107,IF(A107='Données projet'!$A$192,'Données projet'!$B$192,EJ106+EI107-ER106)))</f>
        <v>228.79230769230705</v>
      </c>
      <c r="EK107" s="18">
        <f>EJ107*VLOOKUP('Données projet'!$B$15,Paramètres!$A$1:$I$89,3,0)*VLOOKUP('Données projet'!$B$15,Paramètres!$A$1:$I$89,5,0)</f>
        <v>107.0747999999997</v>
      </c>
      <c r="EL107" s="14">
        <f t="shared" si="99"/>
        <v>28.640707257492455</v>
      </c>
      <c r="EM107" s="22">
        <f t="shared" si="73"/>
        <v>236.37117514013221</v>
      </c>
      <c r="EN107" s="62">
        <f t="shared" si="74"/>
        <v>511.9126875994674</v>
      </c>
      <c r="EO107" s="62">
        <f ca="1">AVERAGE(OFFSET($EN$3,0,0,'Données projet'!$E$15+1,1))-AVERAGE(OFFSET($H$3,0,0,'Données projet'!$E$15+1,1))</f>
        <v>291.68530745507815</v>
      </c>
      <c r="EP107" s="62">
        <f t="shared" si="100"/>
        <v>175.95121106728979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0</v>
      </c>
      <c r="EZ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65.147685216182325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-1.1368683772161603E-13</v>
      </c>
      <c r="FF107" s="18">
        <f>FE107*VLOOKUP('Données projet'!$B$16,Paramètres!$A$1:$I$89,3,0)*VLOOKUP('Données projet'!$B$16,Paramètres!$A$1:$I$89,5,0)</f>
        <v>-7.4487616075202823E-14</v>
      </c>
      <c r="FG107" s="14" t="e">
        <f t="shared" si="101"/>
        <v>#NUM!</v>
      </c>
      <c r="FH107" s="22" t="e">
        <f t="shared" si="76"/>
        <v>#NUM!</v>
      </c>
      <c r="FI107" s="62" t="e">
        <f t="shared" si="77"/>
        <v>#NUM!</v>
      </c>
      <c r="FJ107" s="62">
        <f ca="1">AVERAGE(OFFSET($FI$3,0,0,'Données projet'!$E$16+1,1))-AVERAGE(OFFSET($H$3,0,0,'Données projet'!$E$16+1,1))</f>
        <v>248.75689726928428</v>
      </c>
      <c r="FK107" s="62">
        <f t="shared" si="102"/>
        <v>232.02291680388336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projet'!$B$16,Paramètres!$A$1:$I$89,3,0)*0.475*44/12</f>
        <v>0</v>
      </c>
      <c r="FR107" s="23">
        <f>EXP(-LN(2)/25)*FR106+(1-EXP(-LN(2)/25))/(LN(2)/25)*Calculateur!FM107*Calculateur!FO107*VLOOKUP('Données projet'!$B$16,Paramètres!$A$1:$I$89,3,0)*0.475*44/12</f>
        <v>0</v>
      </c>
      <c r="FS107" s="23">
        <f>EXP(-LN(2)/2)*FS106+(1-EXP(-LN(2)/2))/(LN(2)/2)*FM107*FP107*VLOOKUP('Données projet'!$B$16,Paramètres!$A$1:$I$89,3,0)*0.475*44/12</f>
        <v>0</v>
      </c>
      <c r="FT107" s="24">
        <f t="shared" si="78"/>
        <v>0</v>
      </c>
      <c r="FU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65.147685216182325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5.1159076974727213E-13</v>
      </c>
      <c r="GA107" s="18">
        <f>FZ107*VLOOKUP('Données projet'!$B$17,Paramètres!$A$1:$I$89,3,0)*VLOOKUP('Données projet'!$B$17,Paramètres!$A$1:$I$89,5,0)</f>
        <v>3.0593128030886877E-13</v>
      </c>
      <c r="GB107" s="14">
        <f t="shared" si="103"/>
        <v>4.0350537939347394E-12</v>
      </c>
      <c r="GC107" s="22">
        <f t="shared" si="79"/>
        <v>7.5605490043076185E-12</v>
      </c>
      <c r="GD107" s="62">
        <f t="shared" si="80"/>
        <v>275.54151245934275</v>
      </c>
      <c r="GE107" s="62">
        <f ca="1">AVERAGE(OFFSET($GD$3,0,0,'Données projet'!$E$17+1,1))-AVERAGE(OFFSET($H$3,0,0,'Données projet'!$E$17+1,1))</f>
        <v>315.909549580511</v>
      </c>
      <c r="GF107" s="62">
        <f t="shared" si="104"/>
        <v>208.56856525402051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projet'!$B$17,Paramètres!$A$1:$I$89,3,0)*0.475*44/12</f>
        <v>0</v>
      </c>
      <c r="GM107" s="23">
        <f>EXP(-LN(2)/25)*GM106+(1-EXP(-LN(2)/25))/(LN(2)/25)*Calculateur!GH107*Calculateur!GJ107*VLOOKUP('Données projet'!$B$17,Paramètres!$A$1:$I$89,3,0)*0.475*44/12</f>
        <v>0</v>
      </c>
      <c r="GN107" s="23">
        <f>EXP(-LN(2)/2)*GN106+(1-EXP(-LN(2)/2))/(LN(2)/2)*GH107*GK107*VLOOKUP('Données projet'!$B$17,Paramètres!$A$1:$I$89,3,0)*0.475*44/12</f>
        <v>0</v>
      </c>
      <c r="GO107" s="23">
        <f t="shared" si="81"/>
        <v>0</v>
      </c>
      <c r="GP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65.147685216182325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2.3076923076923093</v>
      </c>
      <c r="GU107" s="13">
        <f>IF('Données projet'!$A$270&gt;35,GU106+GT107-HC106,IF(A107&lt;'Données projet'!$A$270,$GR$205^A107,IF(A107='Données projet'!$A$270,'Données projet'!$B$270,GU106+GT107-HC106)))</f>
        <v>204.10256410256423</v>
      </c>
      <c r="GV107" s="18">
        <f>GU107*VLOOKUP('Données projet'!$B$18,Paramètres!$A$1:$I$89,3,0)*VLOOKUP('Données projet'!$B$18,Paramètres!$A$1:$I$89,5,0)</f>
        <v>136.91200000000009</v>
      </c>
      <c r="GW107" s="14">
        <f t="shared" si="105"/>
        <v>35.588672385857095</v>
      </c>
      <c r="GX107" s="22">
        <f t="shared" si="82"/>
        <v>300.43867107203454</v>
      </c>
      <c r="GY107" s="62">
        <f t="shared" si="83"/>
        <v>575.98018353136968</v>
      </c>
      <c r="GZ107" s="62">
        <f ca="1">AVERAGE(OFFSET($GY$3,0,0,'Données projet'!$E$18+1,1))-AVERAGE(OFFSET($H$3,0,0,'Données projet'!$E$18+1,1))</f>
        <v>254.35742752782755</v>
      </c>
      <c r="HA107" s="62">
        <f t="shared" si="106"/>
        <v>171.79611712137395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>
        <f>EXP(-LN(2)/35)*HG106+(1-EXP(-LN(2)/35))/(LN(2)/35)*HC107*HD107*VLOOKUP('Données projet'!$B$18,Paramètres!$A$1:$I$89,3,0)*0.475*44/12</f>
        <v>0</v>
      </c>
      <c r="HH107" s="23">
        <f>EXP(-LN(2)/25)*HH106+(1-EXP(-LN(2)/25))/(LN(2)/25)*Calculateur!HC107*Calculateur!HE107*VLOOKUP('Données projet'!$B$18,Paramètres!$A$1:$I$89,3,0)*0.475*44/12</f>
        <v>0</v>
      </c>
      <c r="HI107" s="23">
        <f>EXP(-LN(2)/2)*HI106+(1-EXP(-LN(2)/2))/(LN(2)/2)*HC107*HF107*VLOOKUP('Données projet'!$B$18,Paramètres!$A$1:$I$89,3,0)*0.475*44/12</f>
        <v>0</v>
      </c>
      <c r="HJ107" s="24">
        <f t="shared" si="84"/>
        <v>0</v>
      </c>
    </row>
    <row r="108" spans="1:218" s="5" customFormat="1" x14ac:dyDescent="0.3">
      <c r="A108" s="11">
        <f t="shared" si="85"/>
        <v>105</v>
      </c>
      <c r="B108" s="76">
        <f>'Scénario référence'!$B$16*5+'Scénario référence'!$B$17*0+'Scénario référence'!$B$18*5</f>
        <v>3.9405000000000001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14.448500000000001</v>
      </c>
      <c r="H108" s="69">
        <f t="shared" si="56"/>
        <v>161.30656666666667</v>
      </c>
      <c r="I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65.231862029530873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210.54472399593521</v>
      </c>
      <c r="T108" s="62">
        <f t="shared" si="88"/>
        <v>181.14158435194193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65.231862029530873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289.05608923588198</v>
      </c>
      <c r="AO108" s="62">
        <f t="shared" si="90"/>
        <v>220.06639020312738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65.231862029530873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1.3833333333333342</v>
      </c>
      <c r="BD108" s="13">
        <f>IF('Données projet'!$A$88&gt;35,BD107+BC108-BL107,IF(A108&lt;'Données projet'!$A$88,$BA$205^A108,IF(A108='Données projet'!$A$88,'Données projet'!$B$88,BD107+BC108-BL107)))</f>
        <v>109.61666666666662</v>
      </c>
      <c r="BE108" s="14">
        <f>BD108*VLOOKUP('Données projet'!$B$11,Paramètres!$A$1:$I$89,3,0)*VLOOKUP('Données projet'!$B$11,Paramètres!$A$1:$I$89,5,0)</f>
        <v>126.27839999999992</v>
      </c>
      <c r="BF108" s="14">
        <f t="shared" si="91"/>
        <v>33.134958547692797</v>
      </c>
      <c r="BG108" s="22">
        <f t="shared" si="61"/>
        <v>277.64493280389814</v>
      </c>
      <c r="BH108" s="62">
        <f t="shared" si="62"/>
        <v>553.49509357884472</v>
      </c>
      <c r="BI108" s="62">
        <f ca="1">AVERAGE(OFFSET($BH$3,0,0,'Données projet'!$E$11+1,1))-AVERAGE(OFFSET($H$3,0,0,'Données projet'!$E$11+1,1))</f>
        <v>299.54950406029354</v>
      </c>
      <c r="BJ108" s="62">
        <f t="shared" si="92"/>
        <v>208.26364698165739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65.231862029530873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2.4358974358974348</v>
      </c>
      <c r="BY108" s="13">
        <f>IF('Données projet'!$A$114&gt;35,BY107+BX108-CG107,IF(A108&lt;'Données projet'!$A$114,$BV$205^A108,IF(A108='Données projet'!$A$114,'Données projet'!$B$114,BY107+BX108-CG107)))</f>
        <v>230.12820512820514</v>
      </c>
      <c r="BZ108" s="14">
        <f>BY108*VLOOKUP('Données projet'!$B$12,Paramètres!$A$1:$I$89,3,0)*VLOOKUP('Données projet'!$B$12,Paramètres!$A$1:$I$89,5,0)</f>
        <v>247.71</v>
      </c>
      <c r="CA108" s="14">
        <f t="shared" si="93"/>
        <v>60.095309501257823</v>
      </c>
      <c r="CB108" s="22">
        <f t="shared" si="64"/>
        <v>536.09424738135738</v>
      </c>
      <c r="CC108" s="62">
        <f t="shared" si="65"/>
        <v>811.94440815630389</v>
      </c>
      <c r="CD108" s="62">
        <f ca="1">AVERAGE(OFFSET($CC$3,0,0,'Données projet'!$E$12+1,1))-AVERAGE(OFFSET($H$3,0,0,'Données projet'!$E$12+1,1))</f>
        <v>441.30518831297212</v>
      </c>
      <c r="CE108" s="62">
        <f t="shared" si="94"/>
        <v>270.42872405271851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65.231862029530873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-1.1368683772161603E-13</v>
      </c>
      <c r="CU108" s="18">
        <f>CT108*VLOOKUP('Données projet'!$B$13,Paramètres!$A$1:$I$89,3,0)*VLOOKUP('Données projet'!$B$13,Paramètres!$A$1:$I$89,5,0)</f>
        <v>-9.9316821433603781E-14</v>
      </c>
      <c r="CV108" s="14" t="e">
        <f t="shared" si="95"/>
        <v>#NUM!</v>
      </c>
      <c r="CW108" s="22" t="e">
        <f t="shared" si="67"/>
        <v>#NUM!</v>
      </c>
      <c r="CX108" s="62" t="e">
        <f t="shared" si="68"/>
        <v>#NUM!</v>
      </c>
      <c r="CY108" s="62">
        <f ca="1">AVERAGE(OFFSET($CX$3,0,0,'Données projet'!$E$13+1,1))-AVERAGE(OFFSET($H$3,0,0,'Données projet'!$E$13+1,1))</f>
        <v>310.81258463659196</v>
      </c>
      <c r="CZ108" s="62">
        <f t="shared" si="96"/>
        <v>287.31099756692083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65.231862029530873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2.4358974358974348</v>
      </c>
      <c r="DO108" s="13">
        <f>IF('Données projet'!$A$166&gt;35,DO107+DN108-DW107,IF(A108&lt;'Données projet'!$A$166,$DL$205^A108,IF(A108='Données projet'!$A$166,'Données projet'!$B$166,DO107+DN108-DW107)))</f>
        <v>230.12820512820514</v>
      </c>
      <c r="DP108" s="18">
        <f>DO108*VLOOKUP('Données projet'!$B$14,Paramètres!$A$1:$I$89,3,0)*VLOOKUP('Données projet'!$B$14,Paramètres!$A$1:$I$89,5,0)</f>
        <v>240.53000000000006</v>
      </c>
      <c r="DQ108" s="14">
        <f t="shared" si="97"/>
        <v>58.553547920109111</v>
      </c>
      <c r="DR108" s="22">
        <f t="shared" si="70"/>
        <v>520.90384596085676</v>
      </c>
      <c r="DS108" s="62">
        <f t="shared" si="71"/>
        <v>796.75400673580327</v>
      </c>
      <c r="DT108" s="62">
        <f ca="1">AVERAGE(OFFSET($DS$3,0,0,'Données projet'!$E$14+1,1))-AVERAGE(OFFSET($H$3,0,0,'Données projet'!$E$14+1,1))</f>
        <v>431.19274104373625</v>
      </c>
      <c r="DU108" s="62">
        <f t="shared" si="98"/>
        <v>264.67919175178133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65.231862029530873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5.4600000000000026</v>
      </c>
      <c r="EJ108" s="13">
        <f>IF('Données projet'!$A$192&gt;35,EJ107+EI108-ER107,IF(A108&lt;'Données projet'!$A$192,$EG$205^A108,IF(A108='Données projet'!$A$192,'Données projet'!$B$192,EJ107+EI108-ER107)))</f>
        <v>234.25230769230706</v>
      </c>
      <c r="EK108" s="18">
        <f>EJ108*VLOOKUP('Données projet'!$B$15,Paramètres!$A$1:$I$89,3,0)*VLOOKUP('Données projet'!$B$15,Paramètres!$A$1:$I$89,5,0)</f>
        <v>109.63007999999969</v>
      </c>
      <c r="EL108" s="14">
        <f t="shared" si="99"/>
        <v>29.243811455610157</v>
      </c>
      <c r="EM108" s="22">
        <f t="shared" si="73"/>
        <v>241.87202761852049</v>
      </c>
      <c r="EN108" s="62">
        <f t="shared" si="74"/>
        <v>517.72218839346704</v>
      </c>
      <c r="EO108" s="62">
        <f ca="1">AVERAGE(OFFSET($EN$3,0,0,'Données projet'!$E$15+1,1))-AVERAGE(OFFSET($H$3,0,0,'Données projet'!$E$15+1,1))</f>
        <v>291.68530745507815</v>
      </c>
      <c r="EP108" s="62">
        <f t="shared" si="100"/>
        <v>175.95121106728979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0</v>
      </c>
      <c r="EZ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65.231862029530873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-1.1368683772161603E-13</v>
      </c>
      <c r="FF108" s="18">
        <f>FE108*VLOOKUP('Données projet'!$B$16,Paramètres!$A$1:$I$89,3,0)*VLOOKUP('Données projet'!$B$16,Paramètres!$A$1:$I$89,5,0)</f>
        <v>-7.4487616075202823E-14</v>
      </c>
      <c r="FG108" s="14" t="e">
        <f t="shared" si="101"/>
        <v>#NUM!</v>
      </c>
      <c r="FH108" s="22" t="e">
        <f t="shared" si="76"/>
        <v>#NUM!</v>
      </c>
      <c r="FI108" s="62" t="e">
        <f t="shared" si="77"/>
        <v>#NUM!</v>
      </c>
      <c r="FJ108" s="62">
        <f ca="1">AVERAGE(OFFSET($FI$3,0,0,'Données projet'!$E$16+1,1))-AVERAGE(OFFSET($H$3,0,0,'Données projet'!$E$16+1,1))</f>
        <v>248.75689726928428</v>
      </c>
      <c r="FK108" s="62">
        <f t="shared" si="102"/>
        <v>232.02291680388336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projet'!$B$16,Paramètres!$A$1:$I$89,3,0)*0.475*44/12</f>
        <v>0</v>
      </c>
      <c r="FR108" s="23">
        <f>EXP(-LN(2)/25)*FR107+(1-EXP(-LN(2)/25))/(LN(2)/25)*Calculateur!FM108*Calculateur!FO108*VLOOKUP('Données projet'!$B$16,Paramètres!$A$1:$I$89,3,0)*0.475*44/12</f>
        <v>0</v>
      </c>
      <c r="FS108" s="23">
        <f>EXP(-LN(2)/2)*FS107+(1-EXP(-LN(2)/2))/(LN(2)/2)*FM108*FP108*VLOOKUP('Données projet'!$B$16,Paramètres!$A$1:$I$89,3,0)*0.475*44/12</f>
        <v>0</v>
      </c>
      <c r="FT108" s="24">
        <f t="shared" si="78"/>
        <v>0</v>
      </c>
      <c r="FU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65.231862029530873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5.1159076974727213E-13</v>
      </c>
      <c r="GA108" s="18">
        <f>FZ108*VLOOKUP('Données projet'!$B$17,Paramètres!$A$1:$I$89,3,0)*VLOOKUP('Données projet'!$B$17,Paramètres!$A$1:$I$89,5,0)</f>
        <v>3.0593128030886877E-13</v>
      </c>
      <c r="GB108" s="14">
        <f t="shared" si="103"/>
        <v>4.0350537939347394E-12</v>
      </c>
      <c r="GC108" s="22">
        <f t="shared" si="79"/>
        <v>7.5605490043076185E-12</v>
      </c>
      <c r="GD108" s="62">
        <f t="shared" si="80"/>
        <v>275.85016077495408</v>
      </c>
      <c r="GE108" s="62">
        <f ca="1">AVERAGE(OFFSET($GD$3,0,0,'Données projet'!$E$17+1,1))-AVERAGE(OFFSET($H$3,0,0,'Données projet'!$E$17+1,1))</f>
        <v>315.909549580511</v>
      </c>
      <c r="GF108" s="62">
        <f t="shared" si="104"/>
        <v>208.56856525402051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projet'!$B$17,Paramètres!$A$1:$I$89,3,0)*0.475*44/12</f>
        <v>0</v>
      </c>
      <c r="GM108" s="23">
        <f>EXP(-LN(2)/25)*GM107+(1-EXP(-LN(2)/25))/(LN(2)/25)*Calculateur!GH108*Calculateur!GJ108*VLOOKUP('Données projet'!$B$17,Paramètres!$A$1:$I$89,3,0)*0.475*44/12</f>
        <v>0</v>
      </c>
      <c r="GN108" s="23">
        <f>EXP(-LN(2)/2)*GN107+(1-EXP(-LN(2)/2))/(LN(2)/2)*GH108*GK108*VLOOKUP('Données projet'!$B$17,Paramètres!$A$1:$I$89,3,0)*0.475*44/12</f>
        <v>0</v>
      </c>
      <c r="GO108" s="23">
        <f t="shared" si="81"/>
        <v>0</v>
      </c>
      <c r="GP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65.231862029530873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>
        <f>VLOOKUP(A108,'Données projet'!$A$269:$I$289,2,0)</f>
        <v>206.41025641025641</v>
      </c>
      <c r="GS108" s="13">
        <f>VLOOKUP(A108,'Données projet'!$A$269:$I$289,9,0)</f>
        <v>2.3076923076923093</v>
      </c>
      <c r="GT108" s="13">
        <f t="array" ref="GT108">INDEX(GS:GS,MIN(IF(ISNUMBER(GS108:GS304),ROW(GS108:GS304),"")))</f>
        <v>2.3076923076923093</v>
      </c>
      <c r="GU108" s="13">
        <f>IF('Données projet'!$A$270&gt;35,GU107+GT108-HC107,IF(A108&lt;'Données projet'!$A$270,$GR$205^A108,IF(A108='Données projet'!$A$270,'Données projet'!$B$270,GU107+GT108-HC107)))</f>
        <v>206.41025641025655</v>
      </c>
      <c r="GV108" s="18">
        <f>GU108*VLOOKUP('Données projet'!$B$18,Paramètres!$A$1:$I$89,3,0)*VLOOKUP('Données projet'!$B$18,Paramètres!$A$1:$I$89,5,0)</f>
        <v>138.46000000000009</v>
      </c>
      <c r="GW108" s="14">
        <f t="shared" si="105"/>
        <v>35.943986332761554</v>
      </c>
      <c r="GX108" s="22">
        <f t="shared" si="82"/>
        <v>303.75360952955981</v>
      </c>
      <c r="GY108" s="62">
        <f t="shared" si="83"/>
        <v>579.60377030450627</v>
      </c>
      <c r="GZ108" s="62">
        <f ca="1">AVERAGE(OFFSET($GY$3,0,0,'Données projet'!$E$18+1,1))-AVERAGE(OFFSET($H$3,0,0,'Données projet'!$E$18+1,1))</f>
        <v>254.35742752782755</v>
      </c>
      <c r="HA108" s="62">
        <f t="shared" si="106"/>
        <v>171.79611712137395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>
        <f>EXP(-LN(2)/35)*HG107+(1-EXP(-LN(2)/35))/(LN(2)/35)*HC108*HD108*VLOOKUP('Données projet'!$B$18,Paramètres!$A$1:$I$89,3,0)*0.475*44/12</f>
        <v>0</v>
      </c>
      <c r="HH108" s="23">
        <f>EXP(-LN(2)/25)*HH107+(1-EXP(-LN(2)/25))/(LN(2)/25)*Calculateur!HC108*Calculateur!HE108*VLOOKUP('Données projet'!$B$18,Paramètres!$A$1:$I$89,3,0)*0.475*44/12</f>
        <v>0</v>
      </c>
      <c r="HI108" s="23">
        <f>EXP(-LN(2)/2)*HI107+(1-EXP(-LN(2)/2))/(LN(2)/2)*HC108*HF108*VLOOKUP('Données projet'!$B$18,Paramètres!$A$1:$I$89,3,0)*0.475*44/12</f>
        <v>0</v>
      </c>
      <c r="HJ108" s="24">
        <f t="shared" si="84"/>
        <v>0</v>
      </c>
    </row>
    <row r="109" spans="1:218" s="5" customFormat="1" x14ac:dyDescent="0.3">
      <c r="A109" s="11">
        <f t="shared" si="85"/>
        <v>106</v>
      </c>
      <c r="B109" s="76">
        <f>'Scénario référence'!$B$16*5+'Scénario référence'!$B$17*0+'Scénario référence'!$B$18*5</f>
        <v>3.9405000000000001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14.448500000000001</v>
      </c>
      <c r="H109" s="69">
        <f t="shared" si="56"/>
        <v>161.30656666666667</v>
      </c>
      <c r="I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65.314578563358992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210.54472399593521</v>
      </c>
      <c r="T109" s="62">
        <f t="shared" si="88"/>
        <v>181.14158435194193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65.314578563358992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289.05608923588198</v>
      </c>
      <c r="AO109" s="62">
        <f t="shared" si="90"/>
        <v>220.06639020312738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65.314578563358992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1.3833333333333342</v>
      </c>
      <c r="BD109" s="13">
        <f>IF('Données projet'!$A$88&gt;35,BD108+BC109-BL108,IF(A109&lt;'Données projet'!$A$88,$BA$205^A109,IF(A109='Données projet'!$A$88,'Données projet'!$B$88,BD108+BC109-BL108)))</f>
        <v>110.99999999999996</v>
      </c>
      <c r="BE109" s="14">
        <f>BD109*VLOOKUP('Données projet'!$B$11,Paramètres!$A$1:$I$89,3,0)*VLOOKUP('Données projet'!$B$11,Paramètres!$A$1:$I$89,5,0)</f>
        <v>127.87199999999994</v>
      </c>
      <c r="BF109" s="14">
        <f t="shared" si="91"/>
        <v>33.504169678639819</v>
      </c>
      <c r="BG109" s="22">
        <f t="shared" si="61"/>
        <v>281.06349552363093</v>
      </c>
      <c r="BH109" s="62">
        <f t="shared" si="62"/>
        <v>557.21695025594727</v>
      </c>
      <c r="BI109" s="62">
        <f ca="1">AVERAGE(OFFSET($BH$3,0,0,'Données projet'!$E$11+1,1))-AVERAGE(OFFSET($H$3,0,0,'Données projet'!$E$11+1,1))</f>
        <v>299.54950406029354</v>
      </c>
      <c r="BJ109" s="62">
        <f t="shared" si="92"/>
        <v>208.26364698165739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65.314578563358992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2.4358974358974348</v>
      </c>
      <c r="BY109" s="13">
        <f>IF('Données projet'!$A$114&gt;35,BY108+BX109-CG108,IF(A109&lt;'Données projet'!$A$114,$BV$205^A109,IF(A109='Données projet'!$A$114,'Données projet'!$B$114,BY108+BX109-CG108)))</f>
        <v>232.56410256410257</v>
      </c>
      <c r="BZ109" s="14">
        <f>BY109*VLOOKUP('Données projet'!$B$12,Paramètres!$A$1:$I$89,3,0)*VLOOKUP('Données projet'!$B$12,Paramètres!$A$1:$I$89,5,0)</f>
        <v>250.33199999999999</v>
      </c>
      <c r="CA109" s="14">
        <f t="shared" si="93"/>
        <v>60.657028163507704</v>
      </c>
      <c r="CB109" s="22">
        <f t="shared" si="64"/>
        <v>541.63922405144251</v>
      </c>
      <c r="CC109" s="62">
        <f t="shared" si="65"/>
        <v>817.7926787837589</v>
      </c>
      <c r="CD109" s="62">
        <f ca="1">AVERAGE(OFFSET($CC$3,0,0,'Données projet'!$E$12+1,1))-AVERAGE(OFFSET($H$3,0,0,'Données projet'!$E$12+1,1))</f>
        <v>441.30518831297212</v>
      </c>
      <c r="CE109" s="62">
        <f t="shared" si="94"/>
        <v>270.42872405271851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65.314578563358992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-1.1368683772161603E-13</v>
      </c>
      <c r="CU109" s="18">
        <f>CT109*VLOOKUP('Données projet'!$B$13,Paramètres!$A$1:$I$89,3,0)*VLOOKUP('Données projet'!$B$13,Paramètres!$A$1:$I$89,5,0)</f>
        <v>-9.9316821433603781E-14</v>
      </c>
      <c r="CV109" s="14" t="e">
        <f t="shared" si="95"/>
        <v>#NUM!</v>
      </c>
      <c r="CW109" s="22" t="e">
        <f t="shared" si="67"/>
        <v>#NUM!</v>
      </c>
      <c r="CX109" s="62" t="e">
        <f t="shared" si="68"/>
        <v>#NUM!</v>
      </c>
      <c r="CY109" s="62">
        <f ca="1">AVERAGE(OFFSET($CX$3,0,0,'Données projet'!$E$13+1,1))-AVERAGE(OFFSET($H$3,0,0,'Données projet'!$E$13+1,1))</f>
        <v>310.81258463659196</v>
      </c>
      <c r="CZ109" s="62">
        <f t="shared" si="96"/>
        <v>287.31099756692083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65.314578563358992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2.4358974358974348</v>
      </c>
      <c r="DO109" s="13">
        <f>IF('Données projet'!$A$166&gt;35,DO108+DN109-DW108,IF(A109&lt;'Données projet'!$A$166,$DL$205^A109,IF(A109='Données projet'!$A$166,'Données projet'!$B$166,DO108+DN109-DW108)))</f>
        <v>232.56410256410257</v>
      </c>
      <c r="DP109" s="18">
        <f>DO109*VLOOKUP('Données projet'!$B$14,Paramètres!$A$1:$I$89,3,0)*VLOOKUP('Données projet'!$B$14,Paramètres!$A$1:$I$89,5,0)</f>
        <v>243.07600000000002</v>
      </c>
      <c r="DQ109" s="14">
        <f t="shared" si="97"/>
        <v>59.100855536637468</v>
      </c>
      <c r="DR109" s="22">
        <f t="shared" si="70"/>
        <v>526.29135672631037</v>
      </c>
      <c r="DS109" s="62">
        <f t="shared" si="71"/>
        <v>802.44481145862665</v>
      </c>
      <c r="DT109" s="62">
        <f ca="1">AVERAGE(OFFSET($DS$3,0,0,'Données projet'!$E$14+1,1))-AVERAGE(OFFSET($H$3,0,0,'Données projet'!$E$14+1,1))</f>
        <v>431.19274104373625</v>
      </c>
      <c r="DU109" s="62">
        <f t="shared" si="98"/>
        <v>264.67919175178133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65.314578563358992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5.4600000000000026</v>
      </c>
      <c r="EJ109" s="13">
        <f>IF('Données projet'!$A$192&gt;35,EJ108+EI109-ER108,IF(A109&lt;'Données projet'!$A$192,$EG$205^A109,IF(A109='Données projet'!$A$192,'Données projet'!$B$192,EJ108+EI109-ER108)))</f>
        <v>239.71230769230706</v>
      </c>
      <c r="EK109" s="18">
        <f>EJ109*VLOOKUP('Données projet'!$B$15,Paramètres!$A$1:$I$89,3,0)*VLOOKUP('Données projet'!$B$15,Paramètres!$A$1:$I$89,5,0)</f>
        <v>112.1853599999997</v>
      </c>
      <c r="EL109" s="14">
        <f t="shared" si="99"/>
        <v>29.84528144827167</v>
      </c>
      <c r="EM109" s="22">
        <f t="shared" si="73"/>
        <v>247.37003385573931</v>
      </c>
      <c r="EN109" s="62">
        <f t="shared" si="74"/>
        <v>523.52348858805567</v>
      </c>
      <c r="EO109" s="62">
        <f ca="1">AVERAGE(OFFSET($EN$3,0,0,'Données projet'!$E$15+1,1))-AVERAGE(OFFSET($H$3,0,0,'Données projet'!$E$15+1,1))</f>
        <v>291.68530745507815</v>
      </c>
      <c r="EP109" s="62">
        <f t="shared" si="100"/>
        <v>175.95121106728979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0</v>
      </c>
      <c r="EZ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65.314578563358992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-1.1368683772161603E-13</v>
      </c>
      <c r="FF109" s="18">
        <f>FE109*VLOOKUP('Données projet'!$B$16,Paramètres!$A$1:$I$89,3,0)*VLOOKUP('Données projet'!$B$16,Paramètres!$A$1:$I$89,5,0)</f>
        <v>-7.4487616075202823E-14</v>
      </c>
      <c r="FG109" s="14" t="e">
        <f t="shared" si="101"/>
        <v>#NUM!</v>
      </c>
      <c r="FH109" s="22" t="e">
        <f t="shared" si="76"/>
        <v>#NUM!</v>
      </c>
      <c r="FI109" s="62" t="e">
        <f t="shared" si="77"/>
        <v>#NUM!</v>
      </c>
      <c r="FJ109" s="62">
        <f ca="1">AVERAGE(OFFSET($FI$3,0,0,'Données projet'!$E$16+1,1))-AVERAGE(OFFSET($H$3,0,0,'Données projet'!$E$16+1,1))</f>
        <v>248.75689726928428</v>
      </c>
      <c r="FK109" s="62">
        <f t="shared" si="102"/>
        <v>232.02291680388336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projet'!$B$16,Paramètres!$A$1:$I$89,3,0)*0.475*44/12</f>
        <v>0</v>
      </c>
      <c r="FR109" s="23">
        <f>EXP(-LN(2)/25)*FR108+(1-EXP(-LN(2)/25))/(LN(2)/25)*Calculateur!FM109*Calculateur!FO109*VLOOKUP('Données projet'!$B$16,Paramètres!$A$1:$I$89,3,0)*0.475*44/12</f>
        <v>0</v>
      </c>
      <c r="FS109" s="23">
        <f>EXP(-LN(2)/2)*FS108+(1-EXP(-LN(2)/2))/(LN(2)/2)*FM109*FP109*VLOOKUP('Données projet'!$B$16,Paramètres!$A$1:$I$89,3,0)*0.475*44/12</f>
        <v>0</v>
      </c>
      <c r="FT109" s="24">
        <f t="shared" si="78"/>
        <v>0</v>
      </c>
      <c r="FU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65.314578563358992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5.1159076974727213E-13</v>
      </c>
      <c r="GA109" s="18">
        <f>FZ109*VLOOKUP('Données projet'!$B$17,Paramètres!$A$1:$I$89,3,0)*VLOOKUP('Données projet'!$B$17,Paramètres!$A$1:$I$89,5,0)</f>
        <v>3.0593128030886877E-13</v>
      </c>
      <c r="GB109" s="14">
        <f t="shared" si="103"/>
        <v>4.0350537939347394E-12</v>
      </c>
      <c r="GC109" s="22">
        <f t="shared" si="79"/>
        <v>7.5605490043076185E-12</v>
      </c>
      <c r="GD109" s="62">
        <f t="shared" si="80"/>
        <v>276.15345473232389</v>
      </c>
      <c r="GE109" s="62">
        <f ca="1">AVERAGE(OFFSET($GD$3,0,0,'Données projet'!$E$17+1,1))-AVERAGE(OFFSET($H$3,0,0,'Données projet'!$E$17+1,1))</f>
        <v>315.909549580511</v>
      </c>
      <c r="GF109" s="62">
        <f t="shared" si="104"/>
        <v>208.56856525402051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projet'!$B$17,Paramètres!$A$1:$I$89,3,0)*0.475*44/12</f>
        <v>0</v>
      </c>
      <c r="GM109" s="23">
        <f>EXP(-LN(2)/25)*GM108+(1-EXP(-LN(2)/25))/(LN(2)/25)*Calculateur!GH109*Calculateur!GJ109*VLOOKUP('Données projet'!$B$17,Paramètres!$A$1:$I$89,3,0)*0.475*44/12</f>
        <v>0</v>
      </c>
      <c r="GN109" s="23">
        <f>EXP(-LN(2)/2)*GN108+(1-EXP(-LN(2)/2))/(LN(2)/2)*GH109*GK109*VLOOKUP('Données projet'!$B$17,Paramètres!$A$1:$I$89,3,0)*0.475*44/12</f>
        <v>0</v>
      </c>
      <c r="GO109" s="23">
        <f t="shared" si="81"/>
        <v>0</v>
      </c>
      <c r="GP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65.314578563358992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2.4358974358974366</v>
      </c>
      <c r="GU109" s="13">
        <f>IF('Données projet'!$A$270&gt;35,GU108+GT109-HC108,IF(A109&lt;'Données projet'!$A$270,$GR$205^A109,IF(A109='Données projet'!$A$270,'Données projet'!$B$270,GU108+GT109-HC108)))</f>
        <v>208.84615384615398</v>
      </c>
      <c r="GV109" s="18">
        <f>GU109*VLOOKUP('Données projet'!$B$18,Paramètres!$A$1:$I$89,3,0)*VLOOKUP('Données projet'!$B$18,Paramètres!$A$1:$I$89,5,0)</f>
        <v>140.09400000000008</v>
      </c>
      <c r="GW109" s="14">
        <f t="shared" si="105"/>
        <v>36.318538733736489</v>
      </c>
      <c r="GX109" s="22">
        <f t="shared" si="82"/>
        <v>307.25183829459121</v>
      </c>
      <c r="GY109" s="62">
        <f t="shared" si="83"/>
        <v>583.40529302690754</v>
      </c>
      <c r="GZ109" s="62">
        <f ca="1">AVERAGE(OFFSET($GY$3,0,0,'Données projet'!$E$18+1,1))-AVERAGE(OFFSET($H$3,0,0,'Données projet'!$E$18+1,1))</f>
        <v>254.35742752782755</v>
      </c>
      <c r="HA109" s="62">
        <f t="shared" si="106"/>
        <v>171.79611712137395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>
        <f>EXP(-LN(2)/35)*HG108+(1-EXP(-LN(2)/35))/(LN(2)/35)*HC109*HD109*VLOOKUP('Données projet'!$B$18,Paramètres!$A$1:$I$89,3,0)*0.475*44/12</f>
        <v>0</v>
      </c>
      <c r="HH109" s="23">
        <f>EXP(-LN(2)/25)*HH108+(1-EXP(-LN(2)/25))/(LN(2)/25)*Calculateur!HC109*Calculateur!HE109*VLOOKUP('Données projet'!$B$18,Paramètres!$A$1:$I$89,3,0)*0.475*44/12</f>
        <v>0</v>
      </c>
      <c r="HI109" s="23">
        <f>EXP(-LN(2)/2)*HI108+(1-EXP(-LN(2)/2))/(LN(2)/2)*HC109*HF109*VLOOKUP('Données projet'!$B$18,Paramètres!$A$1:$I$89,3,0)*0.475*44/12</f>
        <v>0</v>
      </c>
      <c r="HJ109" s="24">
        <f t="shared" si="84"/>
        <v>0</v>
      </c>
    </row>
    <row r="110" spans="1:218" s="5" customFormat="1" x14ac:dyDescent="0.3">
      <c r="A110" s="11">
        <f t="shared" si="85"/>
        <v>107</v>
      </c>
      <c r="B110" s="76">
        <f>'Scénario référence'!$B$16*5+'Scénario référence'!$B$17*0+'Scénario référence'!$B$18*5</f>
        <v>3.9405000000000001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14.448500000000001</v>
      </c>
      <c r="H110" s="69">
        <f t="shared" si="56"/>
        <v>161.30656666666667</v>
      </c>
      <c r="I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65.395860150251664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210.54472399593521</v>
      </c>
      <c r="T110" s="62">
        <f t="shared" si="88"/>
        <v>181.14158435194193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65.395860150251664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289.05608923588198</v>
      </c>
      <c r="AO110" s="62">
        <f t="shared" si="90"/>
        <v>220.06639020312738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65.395860150251664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1.3833333333333342</v>
      </c>
      <c r="BD110" s="13">
        <f>IF('Données projet'!$A$88&gt;35,BD109+BC110-BL109,IF(A110&lt;'Données projet'!$A$88,$BA$205^A110,IF(A110='Données projet'!$A$88,'Données projet'!$B$88,BD109+BC110-BL109)))</f>
        <v>112.3833333333333</v>
      </c>
      <c r="BE110" s="14">
        <f>BD110*VLOOKUP('Données projet'!$B$11,Paramètres!$A$1:$I$89,3,0)*VLOOKUP('Données projet'!$B$11,Paramètres!$A$1:$I$89,5,0)</f>
        <v>129.46559999999994</v>
      </c>
      <c r="BF110" s="14">
        <f t="shared" si="91"/>
        <v>33.872845594243692</v>
      </c>
      <c r="BG110" s="22">
        <f t="shared" si="61"/>
        <v>284.48112607664098</v>
      </c>
      <c r="BH110" s="62">
        <f t="shared" si="62"/>
        <v>560.93261329423035</v>
      </c>
      <c r="BI110" s="62">
        <f ca="1">AVERAGE(OFFSET($BH$3,0,0,'Données projet'!$E$11+1,1))-AVERAGE(OFFSET($H$3,0,0,'Données projet'!$E$11+1,1))</f>
        <v>299.54950406029354</v>
      </c>
      <c r="BJ110" s="62">
        <f t="shared" si="92"/>
        <v>208.26364698165739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65.395860150251664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2.4358974358974348</v>
      </c>
      <c r="BY110" s="13">
        <f>IF('Données projet'!$A$114&gt;35,BY109+BX110-CG109,IF(A110&lt;'Données projet'!$A$114,$BV$205^A110,IF(A110='Données projet'!$A$114,'Données projet'!$B$114,BY109+BX110-CG109)))</f>
        <v>235</v>
      </c>
      <c r="BZ110" s="14">
        <f>BY110*VLOOKUP('Données projet'!$B$12,Paramètres!$A$1:$I$89,3,0)*VLOOKUP('Données projet'!$B$12,Paramètres!$A$1:$I$89,5,0)</f>
        <v>252.95399999999998</v>
      </c>
      <c r="CA110" s="14">
        <f t="shared" si="93"/>
        <v>61.218062391350081</v>
      </c>
      <c r="CB110" s="22">
        <f t="shared" si="64"/>
        <v>547.18300866493462</v>
      </c>
      <c r="CC110" s="62">
        <f t="shared" si="65"/>
        <v>823.63449588252411</v>
      </c>
      <c r="CD110" s="62">
        <f ca="1">AVERAGE(OFFSET($CC$3,0,0,'Données projet'!$E$12+1,1))-AVERAGE(OFFSET($H$3,0,0,'Données projet'!$E$12+1,1))</f>
        <v>441.30518831297212</v>
      </c>
      <c r="CE110" s="62">
        <f t="shared" si="94"/>
        <v>270.42872405271851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65.395860150251664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-1.1368683772161603E-13</v>
      </c>
      <c r="CU110" s="18">
        <f>CT110*VLOOKUP('Données projet'!$B$13,Paramètres!$A$1:$I$89,3,0)*VLOOKUP('Données projet'!$B$13,Paramètres!$A$1:$I$89,5,0)</f>
        <v>-9.9316821433603781E-14</v>
      </c>
      <c r="CV110" s="14" t="e">
        <f t="shared" si="95"/>
        <v>#NUM!</v>
      </c>
      <c r="CW110" s="22" t="e">
        <f t="shared" si="67"/>
        <v>#NUM!</v>
      </c>
      <c r="CX110" s="62" t="e">
        <f t="shared" si="68"/>
        <v>#NUM!</v>
      </c>
      <c r="CY110" s="62">
        <f ca="1">AVERAGE(OFFSET($CX$3,0,0,'Données projet'!$E$13+1,1))-AVERAGE(OFFSET($H$3,0,0,'Données projet'!$E$13+1,1))</f>
        <v>310.81258463659196</v>
      </c>
      <c r="CZ110" s="62">
        <f t="shared" si="96"/>
        <v>287.31099756692083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65.395860150251664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2.4358974358974348</v>
      </c>
      <c r="DO110" s="13">
        <f>IF('Données projet'!$A$166&gt;35,DO109+DN110-DW109,IF(A110&lt;'Données projet'!$A$166,$DL$205^A110,IF(A110='Données projet'!$A$166,'Données projet'!$B$166,DO109+DN110-DW109)))</f>
        <v>235</v>
      </c>
      <c r="DP110" s="18">
        <f>DO110*VLOOKUP('Données projet'!$B$14,Paramètres!$A$1:$I$89,3,0)*VLOOKUP('Données projet'!$B$14,Paramètres!$A$1:$I$89,5,0)</f>
        <v>245.62200000000004</v>
      </c>
      <c r="DQ110" s="14">
        <f t="shared" si="97"/>
        <v>59.647496278110026</v>
      </c>
      <c r="DR110" s="22">
        <f t="shared" si="70"/>
        <v>531.67770601770837</v>
      </c>
      <c r="DS110" s="62">
        <f t="shared" si="71"/>
        <v>808.12919323529786</v>
      </c>
      <c r="DT110" s="62">
        <f ca="1">AVERAGE(OFFSET($DS$3,0,0,'Données projet'!$E$14+1,1))-AVERAGE(OFFSET($H$3,0,0,'Données projet'!$E$14+1,1))</f>
        <v>431.19274104373625</v>
      </c>
      <c r="DU110" s="62">
        <f t="shared" si="98"/>
        <v>264.67919175178133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65.395860150251664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5.4600000000000026</v>
      </c>
      <c r="EJ110" s="13">
        <f>IF('Données projet'!$A$192&gt;35,EJ109+EI110-ER109,IF(A110&lt;'Données projet'!$A$192,$EG$205^A110,IF(A110='Données projet'!$A$192,'Données projet'!$B$192,EJ109+EI110-ER109)))</f>
        <v>245.17230769230707</v>
      </c>
      <c r="EK110" s="18">
        <f>EJ110*VLOOKUP('Données projet'!$B$15,Paramètres!$A$1:$I$89,3,0)*VLOOKUP('Données projet'!$B$15,Paramètres!$A$1:$I$89,5,0)</f>
        <v>114.74063999999971</v>
      </c>
      <c r="EL110" s="14">
        <f t="shared" si="99"/>
        <v>30.445158743218197</v>
      </c>
      <c r="EM110" s="22">
        <f t="shared" si="73"/>
        <v>252.86526614443781</v>
      </c>
      <c r="EN110" s="62">
        <f t="shared" si="74"/>
        <v>529.31675336202727</v>
      </c>
      <c r="EO110" s="62">
        <f ca="1">AVERAGE(OFFSET($EN$3,0,0,'Données projet'!$E$15+1,1))-AVERAGE(OFFSET($H$3,0,0,'Données projet'!$E$15+1,1))</f>
        <v>291.68530745507815</v>
      </c>
      <c r="EP110" s="62">
        <f t="shared" si="100"/>
        <v>175.95121106728979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0</v>
      </c>
      <c r="EZ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65.395860150251664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-1.1368683772161603E-13</v>
      </c>
      <c r="FF110" s="18">
        <f>FE110*VLOOKUP('Données projet'!$B$16,Paramètres!$A$1:$I$89,3,0)*VLOOKUP('Données projet'!$B$16,Paramètres!$A$1:$I$89,5,0)</f>
        <v>-7.4487616075202823E-14</v>
      </c>
      <c r="FG110" s="14" t="e">
        <f t="shared" si="101"/>
        <v>#NUM!</v>
      </c>
      <c r="FH110" s="22" t="e">
        <f t="shared" si="76"/>
        <v>#NUM!</v>
      </c>
      <c r="FI110" s="62" t="e">
        <f t="shared" si="77"/>
        <v>#NUM!</v>
      </c>
      <c r="FJ110" s="62">
        <f ca="1">AVERAGE(OFFSET($FI$3,0,0,'Données projet'!$E$16+1,1))-AVERAGE(OFFSET($H$3,0,0,'Données projet'!$E$16+1,1))</f>
        <v>248.75689726928428</v>
      </c>
      <c r="FK110" s="62">
        <f t="shared" si="102"/>
        <v>232.02291680388336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projet'!$B$16,Paramètres!$A$1:$I$89,3,0)*0.475*44/12</f>
        <v>0</v>
      </c>
      <c r="FR110" s="23">
        <f>EXP(-LN(2)/25)*FR109+(1-EXP(-LN(2)/25))/(LN(2)/25)*Calculateur!FM110*Calculateur!FO110*VLOOKUP('Données projet'!$B$16,Paramètres!$A$1:$I$89,3,0)*0.475*44/12</f>
        <v>0</v>
      </c>
      <c r="FS110" s="23">
        <f>EXP(-LN(2)/2)*FS109+(1-EXP(-LN(2)/2))/(LN(2)/2)*FM110*FP110*VLOOKUP('Données projet'!$B$16,Paramètres!$A$1:$I$89,3,0)*0.475*44/12</f>
        <v>0</v>
      </c>
      <c r="FT110" s="24">
        <f t="shared" si="78"/>
        <v>0</v>
      </c>
      <c r="FU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65.395860150251664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5.1159076974727213E-13</v>
      </c>
      <c r="GA110" s="18">
        <f>FZ110*VLOOKUP('Données projet'!$B$17,Paramètres!$A$1:$I$89,3,0)*VLOOKUP('Données projet'!$B$17,Paramètres!$A$1:$I$89,5,0)</f>
        <v>3.0593128030886877E-13</v>
      </c>
      <c r="GB110" s="14">
        <f t="shared" si="103"/>
        <v>4.0350537939347394E-12</v>
      </c>
      <c r="GC110" s="22">
        <f t="shared" si="79"/>
        <v>7.5605490043076185E-12</v>
      </c>
      <c r="GD110" s="62">
        <f t="shared" si="80"/>
        <v>276.45148721759699</v>
      </c>
      <c r="GE110" s="62">
        <f ca="1">AVERAGE(OFFSET($GD$3,0,0,'Données projet'!$E$17+1,1))-AVERAGE(OFFSET($H$3,0,0,'Données projet'!$E$17+1,1))</f>
        <v>315.909549580511</v>
      </c>
      <c r="GF110" s="62">
        <f t="shared" si="104"/>
        <v>208.56856525402051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projet'!$B$17,Paramètres!$A$1:$I$89,3,0)*0.475*44/12</f>
        <v>0</v>
      </c>
      <c r="GM110" s="23">
        <f>EXP(-LN(2)/25)*GM109+(1-EXP(-LN(2)/25))/(LN(2)/25)*Calculateur!GH110*Calculateur!GJ110*VLOOKUP('Données projet'!$B$17,Paramètres!$A$1:$I$89,3,0)*0.475*44/12</f>
        <v>0</v>
      </c>
      <c r="GN110" s="23">
        <f>EXP(-LN(2)/2)*GN109+(1-EXP(-LN(2)/2))/(LN(2)/2)*GH110*GK110*VLOOKUP('Données projet'!$B$17,Paramètres!$A$1:$I$89,3,0)*0.475*44/12</f>
        <v>0</v>
      </c>
      <c r="GO110" s="23">
        <f t="shared" si="81"/>
        <v>0</v>
      </c>
      <c r="GP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65.395860150251664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2.4358974358974366</v>
      </c>
      <c r="GU110" s="13">
        <f>IF('Données projet'!$A$270&gt;35,GU109+GT110-HC109,IF(A110&lt;'Données projet'!$A$270,$GR$205^A110,IF(A110='Données projet'!$A$270,'Données projet'!$B$270,GU109+GT110-HC109)))</f>
        <v>211.28205128205141</v>
      </c>
      <c r="GV110" s="18">
        <f>GU110*VLOOKUP('Données projet'!$B$18,Paramètres!$A$1:$I$89,3,0)*VLOOKUP('Données projet'!$B$18,Paramètres!$A$1:$I$89,5,0)</f>
        <v>141.72800000000009</v>
      </c>
      <c r="GW110" s="14">
        <f t="shared" si="105"/>
        <v>36.692582959214363</v>
      </c>
      <c r="GX110" s="22">
        <f t="shared" si="82"/>
        <v>310.74918198729853</v>
      </c>
      <c r="GY110" s="62">
        <f t="shared" si="83"/>
        <v>587.20066920488796</v>
      </c>
      <c r="GZ110" s="62">
        <f ca="1">AVERAGE(OFFSET($GY$3,0,0,'Données projet'!$E$18+1,1))-AVERAGE(OFFSET($H$3,0,0,'Données projet'!$E$18+1,1))</f>
        <v>254.35742752782755</v>
      </c>
      <c r="HA110" s="62">
        <f t="shared" si="106"/>
        <v>171.79611712137395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>
        <f>EXP(-LN(2)/35)*HG109+(1-EXP(-LN(2)/35))/(LN(2)/35)*HC110*HD110*VLOOKUP('Données projet'!$B$18,Paramètres!$A$1:$I$89,3,0)*0.475*44/12</f>
        <v>0</v>
      </c>
      <c r="HH110" s="23">
        <f>EXP(-LN(2)/25)*HH109+(1-EXP(-LN(2)/25))/(LN(2)/25)*Calculateur!HC110*Calculateur!HE110*VLOOKUP('Données projet'!$B$18,Paramètres!$A$1:$I$89,3,0)*0.475*44/12</f>
        <v>0</v>
      </c>
      <c r="HI110" s="23">
        <f>EXP(-LN(2)/2)*HI109+(1-EXP(-LN(2)/2))/(LN(2)/2)*HC110*HF110*VLOOKUP('Données projet'!$B$18,Paramètres!$A$1:$I$89,3,0)*0.475*44/12</f>
        <v>0</v>
      </c>
      <c r="HJ110" s="24">
        <f t="shared" si="84"/>
        <v>0</v>
      </c>
    </row>
    <row r="111" spans="1:218" s="5" customFormat="1" x14ac:dyDescent="0.3">
      <c r="A111" s="11">
        <f t="shared" si="85"/>
        <v>108</v>
      </c>
      <c r="B111" s="76">
        <f>'Scénario référence'!$B$16*5+'Scénario référence'!$B$17*0+'Scénario référence'!$B$18*5</f>
        <v>3.9405000000000001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14.448500000000001</v>
      </c>
      <c r="H111" s="69">
        <f t="shared" si="56"/>
        <v>161.30656666666667</v>
      </c>
      <c r="I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65.475731683330139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210.54472399593521</v>
      </c>
      <c r="T111" s="62">
        <f t="shared" si="88"/>
        <v>181.14158435194193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65.475731683330139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289.05608923588198</v>
      </c>
      <c r="AO111" s="62">
        <f t="shared" si="90"/>
        <v>220.06639020312738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65.475731683330139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1.3833333333333342</v>
      </c>
      <c r="BD111" s="13">
        <f>IF('Données projet'!$A$88&gt;35,BD110+BC111-BL110,IF(A111&lt;'Données projet'!$A$88,$BA$205^A111,IF(A111='Données projet'!$A$88,'Données projet'!$B$88,BD110+BC111-BL110)))</f>
        <v>113.76666666666664</v>
      </c>
      <c r="BE111" s="14">
        <f>BD111*VLOOKUP('Données projet'!$B$11,Paramètres!$A$1:$I$89,3,0)*VLOOKUP('Données projet'!$B$11,Paramètres!$A$1:$I$89,5,0)</f>
        <v>131.05919999999995</v>
      </c>
      <c r="BF111" s="14">
        <f t="shared" si="91"/>
        <v>34.240993644452693</v>
      </c>
      <c r="BG111" s="22">
        <f t="shared" si="61"/>
        <v>287.89783726408837</v>
      </c>
      <c r="BH111" s="62">
        <f t="shared" si="62"/>
        <v>564.64218676963219</v>
      </c>
      <c r="BI111" s="62">
        <f ca="1">AVERAGE(OFFSET($BH$3,0,0,'Données projet'!$E$11+1,1))-AVERAGE(OFFSET($H$3,0,0,'Données projet'!$E$11+1,1))</f>
        <v>299.54950406029354</v>
      </c>
      <c r="BJ111" s="62">
        <f t="shared" si="92"/>
        <v>208.26364698165739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65.475731683330139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2.4358974358974348</v>
      </c>
      <c r="BY111" s="13">
        <f>IF('Données projet'!$A$114&gt;35,BY110+BX111-CG110,IF(A111&lt;'Données projet'!$A$114,$BV$205^A111,IF(A111='Données projet'!$A$114,'Données projet'!$B$114,BY110+BX111-CG110)))</f>
        <v>237.43589743589743</v>
      </c>
      <c r="BZ111" s="14">
        <f>BY111*VLOOKUP('Données projet'!$B$12,Paramètres!$A$1:$I$89,3,0)*VLOOKUP('Données projet'!$B$12,Paramètres!$A$1:$I$89,5,0)</f>
        <v>255.57599999999999</v>
      </c>
      <c r="CA111" s="14">
        <f t="shared" si="93"/>
        <v>61.778420100614788</v>
      </c>
      <c r="CB111" s="22">
        <f t="shared" si="64"/>
        <v>552.72561500857068</v>
      </c>
      <c r="CC111" s="62">
        <f t="shared" si="65"/>
        <v>829.46996451411451</v>
      </c>
      <c r="CD111" s="62">
        <f ca="1">AVERAGE(OFFSET($CC$3,0,0,'Données projet'!$E$12+1,1))-AVERAGE(OFFSET($H$3,0,0,'Données projet'!$E$12+1,1))</f>
        <v>441.30518831297212</v>
      </c>
      <c r="CE111" s="62">
        <f t="shared" si="94"/>
        <v>270.42872405271851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65.475731683330139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-1.1368683772161603E-13</v>
      </c>
      <c r="CU111" s="18">
        <f>CT111*VLOOKUP('Données projet'!$B$13,Paramètres!$A$1:$I$89,3,0)*VLOOKUP('Données projet'!$B$13,Paramètres!$A$1:$I$89,5,0)</f>
        <v>-9.9316821433603781E-14</v>
      </c>
      <c r="CV111" s="14" t="e">
        <f t="shared" si="95"/>
        <v>#NUM!</v>
      </c>
      <c r="CW111" s="22" t="e">
        <f t="shared" si="67"/>
        <v>#NUM!</v>
      </c>
      <c r="CX111" s="62" t="e">
        <f t="shared" si="68"/>
        <v>#NUM!</v>
      </c>
      <c r="CY111" s="62">
        <f ca="1">AVERAGE(OFFSET($CX$3,0,0,'Données projet'!$E$13+1,1))-AVERAGE(OFFSET($H$3,0,0,'Données projet'!$E$13+1,1))</f>
        <v>310.81258463659196</v>
      </c>
      <c r="CZ111" s="62">
        <f t="shared" si="96"/>
        <v>287.31099756692083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65.475731683330139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2.4358974358974348</v>
      </c>
      <c r="DO111" s="13">
        <f>IF('Données projet'!$A$166&gt;35,DO110+DN111-DW110,IF(A111&lt;'Données projet'!$A$166,$DL$205^A111,IF(A111='Données projet'!$A$166,'Données projet'!$B$166,DO110+DN111-DW110)))</f>
        <v>237.43589743589743</v>
      </c>
      <c r="DP111" s="18">
        <f>DO111*VLOOKUP('Données projet'!$B$14,Paramètres!$A$1:$I$89,3,0)*VLOOKUP('Données projet'!$B$14,Paramètres!$A$1:$I$89,5,0)</f>
        <v>248.16800000000001</v>
      </c>
      <c r="DQ111" s="14">
        <f t="shared" si="97"/>
        <v>60.193477857273869</v>
      </c>
      <c r="DR111" s="22">
        <f t="shared" si="70"/>
        <v>537.06290726808527</v>
      </c>
      <c r="DS111" s="62">
        <f t="shared" si="71"/>
        <v>813.80725677362909</v>
      </c>
      <c r="DT111" s="62">
        <f ca="1">AVERAGE(OFFSET($DS$3,0,0,'Données projet'!$E$14+1,1))-AVERAGE(OFFSET($H$3,0,0,'Données projet'!$E$14+1,1))</f>
        <v>431.19274104373625</v>
      </c>
      <c r="DU111" s="62">
        <f t="shared" si="98"/>
        <v>264.67919175178133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65.475731683330139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5.4600000000000026</v>
      </c>
      <c r="EJ111" s="13">
        <f>IF('Données projet'!$A$192&gt;35,EJ110+EI111-ER110,IF(A111&lt;'Données projet'!$A$192,$EG$205^A111,IF(A111='Données projet'!$A$192,'Données projet'!$B$192,EJ110+EI111-ER110)))</f>
        <v>250.63230769230708</v>
      </c>
      <c r="EK111" s="18">
        <f>EJ111*VLOOKUP('Données projet'!$B$15,Paramètres!$A$1:$I$89,3,0)*VLOOKUP('Données projet'!$B$15,Paramètres!$A$1:$I$89,5,0)</f>
        <v>117.29591999999971</v>
      </c>
      <c r="EL111" s="14">
        <f t="shared" si="99"/>
        <v>31.043482893881698</v>
      </c>
      <c r="EM111" s="22">
        <f t="shared" si="73"/>
        <v>258.35779337351011</v>
      </c>
      <c r="EN111" s="62">
        <f t="shared" si="74"/>
        <v>535.10214287905387</v>
      </c>
      <c r="EO111" s="62">
        <f ca="1">AVERAGE(OFFSET($EN$3,0,0,'Données projet'!$E$15+1,1))-AVERAGE(OFFSET($H$3,0,0,'Données projet'!$E$15+1,1))</f>
        <v>291.68530745507815</v>
      </c>
      <c r="EP111" s="62">
        <f t="shared" si="100"/>
        <v>175.95121106728979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0</v>
      </c>
      <c r="EZ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65.475731683330139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-1.1368683772161603E-13</v>
      </c>
      <c r="FF111" s="18">
        <f>FE111*VLOOKUP('Données projet'!$B$16,Paramètres!$A$1:$I$89,3,0)*VLOOKUP('Données projet'!$B$16,Paramètres!$A$1:$I$89,5,0)</f>
        <v>-7.4487616075202823E-14</v>
      </c>
      <c r="FG111" s="14" t="e">
        <f t="shared" si="101"/>
        <v>#NUM!</v>
      </c>
      <c r="FH111" s="22" t="e">
        <f t="shared" si="76"/>
        <v>#NUM!</v>
      </c>
      <c r="FI111" s="62" t="e">
        <f t="shared" si="77"/>
        <v>#NUM!</v>
      </c>
      <c r="FJ111" s="62">
        <f ca="1">AVERAGE(OFFSET($FI$3,0,0,'Données projet'!$E$16+1,1))-AVERAGE(OFFSET($H$3,0,0,'Données projet'!$E$16+1,1))</f>
        <v>248.75689726928428</v>
      </c>
      <c r="FK111" s="62">
        <f t="shared" si="102"/>
        <v>232.02291680388336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projet'!$B$16,Paramètres!$A$1:$I$89,3,0)*0.475*44/12</f>
        <v>0</v>
      </c>
      <c r="FR111" s="23">
        <f>EXP(-LN(2)/25)*FR110+(1-EXP(-LN(2)/25))/(LN(2)/25)*Calculateur!FM111*Calculateur!FO111*VLOOKUP('Données projet'!$B$16,Paramètres!$A$1:$I$89,3,0)*0.475*44/12</f>
        <v>0</v>
      </c>
      <c r="FS111" s="23">
        <f>EXP(-LN(2)/2)*FS110+(1-EXP(-LN(2)/2))/(LN(2)/2)*FM111*FP111*VLOOKUP('Données projet'!$B$16,Paramètres!$A$1:$I$89,3,0)*0.475*44/12</f>
        <v>0</v>
      </c>
      <c r="FT111" s="24">
        <f t="shared" si="78"/>
        <v>0</v>
      </c>
      <c r="FU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65.475731683330139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5.1159076974727213E-13</v>
      </c>
      <c r="GA111" s="18">
        <f>FZ111*VLOOKUP('Données projet'!$B$17,Paramètres!$A$1:$I$89,3,0)*VLOOKUP('Données projet'!$B$17,Paramètres!$A$1:$I$89,5,0)</f>
        <v>3.0593128030886877E-13</v>
      </c>
      <c r="GB111" s="14">
        <f t="shared" si="103"/>
        <v>4.0350537939347394E-12</v>
      </c>
      <c r="GC111" s="22">
        <f t="shared" si="79"/>
        <v>7.5605490043076185E-12</v>
      </c>
      <c r="GD111" s="62">
        <f t="shared" si="80"/>
        <v>276.74434950555138</v>
      </c>
      <c r="GE111" s="62">
        <f ca="1">AVERAGE(OFFSET($GD$3,0,0,'Données projet'!$E$17+1,1))-AVERAGE(OFFSET($H$3,0,0,'Données projet'!$E$17+1,1))</f>
        <v>315.909549580511</v>
      </c>
      <c r="GF111" s="62">
        <f t="shared" si="104"/>
        <v>208.56856525402051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projet'!$B$17,Paramètres!$A$1:$I$89,3,0)*0.475*44/12</f>
        <v>0</v>
      </c>
      <c r="GM111" s="23">
        <f>EXP(-LN(2)/25)*GM110+(1-EXP(-LN(2)/25))/(LN(2)/25)*Calculateur!GH111*Calculateur!GJ111*VLOOKUP('Données projet'!$B$17,Paramètres!$A$1:$I$89,3,0)*0.475*44/12</f>
        <v>0</v>
      </c>
      <c r="GN111" s="23">
        <f>EXP(-LN(2)/2)*GN110+(1-EXP(-LN(2)/2))/(LN(2)/2)*GH111*GK111*VLOOKUP('Données projet'!$B$17,Paramètres!$A$1:$I$89,3,0)*0.475*44/12</f>
        <v>0</v>
      </c>
      <c r="GO111" s="23">
        <f t="shared" si="81"/>
        <v>0</v>
      </c>
      <c r="GP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65.475731683330139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2.4358974358974366</v>
      </c>
      <c r="GU111" s="13">
        <f>IF('Données projet'!$A$270&gt;35,GU110+GT111-HC110,IF(A111&lt;'Données projet'!$A$270,$GR$205^A111,IF(A111='Données projet'!$A$270,'Données projet'!$B$270,GU110+GT111-HC110)))</f>
        <v>213.71794871794884</v>
      </c>
      <c r="GV111" s="18">
        <f>GU111*VLOOKUP('Données projet'!$B$18,Paramètres!$A$1:$I$89,3,0)*VLOOKUP('Données projet'!$B$18,Paramètres!$A$1:$I$89,5,0)</f>
        <v>143.36200000000008</v>
      </c>
      <c r="GW111" s="14">
        <f t="shared" si="105"/>
        <v>37.066125545885491</v>
      </c>
      <c r="GX111" s="22">
        <f t="shared" si="82"/>
        <v>314.24565199241732</v>
      </c>
      <c r="GY111" s="62">
        <f t="shared" si="83"/>
        <v>590.9900014979612</v>
      </c>
      <c r="GZ111" s="62">
        <f ca="1">AVERAGE(OFFSET($GY$3,0,0,'Données projet'!$E$18+1,1))-AVERAGE(OFFSET($H$3,0,0,'Données projet'!$E$18+1,1))</f>
        <v>254.35742752782755</v>
      </c>
      <c r="HA111" s="62">
        <f t="shared" si="106"/>
        <v>171.79611712137395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>
        <f>EXP(-LN(2)/35)*HG110+(1-EXP(-LN(2)/35))/(LN(2)/35)*HC111*HD111*VLOOKUP('Données projet'!$B$18,Paramètres!$A$1:$I$89,3,0)*0.475*44/12</f>
        <v>0</v>
      </c>
      <c r="HH111" s="23">
        <f>EXP(-LN(2)/25)*HH110+(1-EXP(-LN(2)/25))/(LN(2)/25)*Calculateur!HC111*Calculateur!HE111*VLOOKUP('Données projet'!$B$18,Paramètres!$A$1:$I$89,3,0)*0.475*44/12</f>
        <v>0</v>
      </c>
      <c r="HI111" s="23">
        <f>EXP(-LN(2)/2)*HI110+(1-EXP(-LN(2)/2))/(LN(2)/2)*HC111*HF111*VLOOKUP('Données projet'!$B$18,Paramètres!$A$1:$I$89,3,0)*0.475*44/12</f>
        <v>0</v>
      </c>
      <c r="HJ111" s="24">
        <f t="shared" si="84"/>
        <v>0</v>
      </c>
    </row>
    <row r="112" spans="1:218" s="5" customFormat="1" x14ac:dyDescent="0.3">
      <c r="A112" s="11">
        <f t="shared" si="85"/>
        <v>109</v>
      </c>
      <c r="B112" s="76">
        <f>'Scénario référence'!$B$16*5+'Scénario référence'!$B$17*0+'Scénario référence'!$B$18*5</f>
        <v>3.9405000000000001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14.448500000000001</v>
      </c>
      <c r="H112" s="69">
        <f t="shared" si="56"/>
        <v>161.30656666666667</v>
      </c>
      <c r="I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65.554217623875701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210.54472399593521</v>
      </c>
      <c r="T112" s="62">
        <f t="shared" si="88"/>
        <v>181.14158435194193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65.554217623875701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289.05608923588198</v>
      </c>
      <c r="AO112" s="62">
        <f t="shared" si="90"/>
        <v>220.06639020312738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65.554217623875701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1.3833333333333342</v>
      </c>
      <c r="BD112" s="13">
        <f>IF('Données projet'!$A$88&gt;35,BD111+BC112-BL111,IF(A112&lt;'Données projet'!$A$88,$BA$205^A112,IF(A112='Données projet'!$A$88,'Données projet'!$B$88,BD111+BC112-BL111)))</f>
        <v>115.14999999999998</v>
      </c>
      <c r="BE112" s="14">
        <f>BD112*VLOOKUP('Données projet'!$B$11,Paramètres!$A$1:$I$89,3,0)*VLOOKUP('Données projet'!$B$11,Paramètres!$A$1:$I$89,5,0)</f>
        <v>132.65279999999996</v>
      </c>
      <c r="BF112" s="14">
        <f t="shared" si="91"/>
        <v>34.608620990190566</v>
      </c>
      <c r="BG112" s="22">
        <f t="shared" si="61"/>
        <v>291.31364155791516</v>
      </c>
      <c r="BH112" s="62">
        <f t="shared" si="62"/>
        <v>568.34577284545935</v>
      </c>
      <c r="BI112" s="62">
        <f ca="1">AVERAGE(OFFSET($BH$3,0,0,'Données projet'!$E$11+1,1))-AVERAGE(OFFSET($H$3,0,0,'Données projet'!$E$11+1,1))</f>
        <v>299.54950406029354</v>
      </c>
      <c r="BJ112" s="62">
        <f t="shared" si="92"/>
        <v>208.26364698165739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65.554217623875701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2.4358974358974348</v>
      </c>
      <c r="BY112" s="13">
        <f>IF('Données projet'!$A$114&gt;35,BY111+BX112-CG111,IF(A112&lt;'Données projet'!$A$114,$BV$205^A112,IF(A112='Données projet'!$A$114,'Données projet'!$B$114,BY111+BX112-CG111)))</f>
        <v>239.87179487179486</v>
      </c>
      <c r="BZ112" s="14">
        <f>BY112*VLOOKUP('Données projet'!$B$12,Paramètres!$A$1:$I$89,3,0)*VLOOKUP('Données projet'!$B$12,Paramètres!$A$1:$I$89,5,0)</f>
        <v>258.19799999999998</v>
      </c>
      <c r="CA112" s="14">
        <f t="shared" si="93"/>
        <v>62.338109035352822</v>
      </c>
      <c r="CB112" s="22">
        <f t="shared" si="64"/>
        <v>558.26705656990612</v>
      </c>
      <c r="CC112" s="62">
        <f t="shared" si="65"/>
        <v>835.29918785745031</v>
      </c>
      <c r="CD112" s="62">
        <f ca="1">AVERAGE(OFFSET($CC$3,0,0,'Données projet'!$E$12+1,1))-AVERAGE(OFFSET($H$3,0,0,'Données projet'!$E$12+1,1))</f>
        <v>441.30518831297212</v>
      </c>
      <c r="CE112" s="62">
        <f t="shared" si="94"/>
        <v>270.42872405271851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65.554217623875701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-1.1368683772161603E-13</v>
      </c>
      <c r="CU112" s="18">
        <f>CT112*VLOOKUP('Données projet'!$B$13,Paramètres!$A$1:$I$89,3,0)*VLOOKUP('Données projet'!$B$13,Paramètres!$A$1:$I$89,5,0)</f>
        <v>-9.9316821433603781E-14</v>
      </c>
      <c r="CV112" s="14" t="e">
        <f t="shared" si="95"/>
        <v>#NUM!</v>
      </c>
      <c r="CW112" s="22" t="e">
        <f t="shared" si="67"/>
        <v>#NUM!</v>
      </c>
      <c r="CX112" s="62" t="e">
        <f t="shared" si="68"/>
        <v>#NUM!</v>
      </c>
      <c r="CY112" s="62">
        <f ca="1">AVERAGE(OFFSET($CX$3,0,0,'Données projet'!$E$13+1,1))-AVERAGE(OFFSET($H$3,0,0,'Données projet'!$E$13+1,1))</f>
        <v>310.81258463659196</v>
      </c>
      <c r="CZ112" s="62">
        <f t="shared" si="96"/>
        <v>287.31099756692083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65.554217623875701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2.4358974358974348</v>
      </c>
      <c r="DO112" s="13">
        <f>IF('Données projet'!$A$166&gt;35,DO111+DN112-DW111,IF(A112&lt;'Données projet'!$A$166,$DL$205^A112,IF(A112='Données projet'!$A$166,'Données projet'!$B$166,DO111+DN112-DW111)))</f>
        <v>239.87179487179486</v>
      </c>
      <c r="DP112" s="18">
        <f>DO112*VLOOKUP('Données projet'!$B$14,Paramètres!$A$1:$I$89,3,0)*VLOOKUP('Données projet'!$B$14,Paramètres!$A$1:$I$89,5,0)</f>
        <v>250.71400000000003</v>
      </c>
      <c r="DQ112" s="14">
        <f t="shared" si="97"/>
        <v>60.738807819504103</v>
      </c>
      <c r="DR112" s="22">
        <f t="shared" si="70"/>
        <v>542.44697361896976</v>
      </c>
      <c r="DS112" s="62">
        <f t="shared" si="71"/>
        <v>819.47910490651407</v>
      </c>
      <c r="DT112" s="62">
        <f ca="1">AVERAGE(OFFSET($DS$3,0,0,'Données projet'!$E$14+1,1))-AVERAGE(OFFSET($H$3,0,0,'Données projet'!$E$14+1,1))</f>
        <v>431.19274104373625</v>
      </c>
      <c r="DU112" s="62">
        <f t="shared" si="98"/>
        <v>264.67919175178133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65.554217623875701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>
        <f>VLOOKUP(A112,'Données projet'!$A$191:$I$211,2,0)</f>
        <v>256.09230769230771</v>
      </c>
      <c r="EH112" s="13">
        <f>VLOOKUP(A112,'Données projet'!$A$191:$I$211,9,0)</f>
        <v>5.4600000000000026</v>
      </c>
      <c r="EI112" s="13">
        <f t="array" ref="EI112">INDEX(EH:EH,MIN(IF(ISNUMBER(EH112:EH308),ROW(EH112:EH308),"")))</f>
        <v>5.4600000000000026</v>
      </c>
      <c r="EJ112" s="13">
        <f>IF('Données projet'!$A$192&gt;35,EJ111+EI112-ER111,IF(A112&lt;'Données projet'!$A$192,$EG$205^A112,IF(A112='Données projet'!$A$192,'Données projet'!$B$192,EJ111+EI112-ER111)))</f>
        <v>256.09230769230709</v>
      </c>
      <c r="EK112" s="18">
        <f>EJ112*VLOOKUP('Données projet'!$B$15,Paramètres!$A$1:$I$89,3,0)*VLOOKUP('Données projet'!$B$15,Paramètres!$A$1:$I$89,5,0)</f>
        <v>119.85119999999972</v>
      </c>
      <c r="EL112" s="14">
        <f t="shared" si="99"/>
        <v>31.640291631938162</v>
      </c>
      <c r="EM112" s="22">
        <f t="shared" si="73"/>
        <v>263.84768125895852</v>
      </c>
      <c r="EN112" s="62">
        <f t="shared" si="74"/>
        <v>540.87981254650276</v>
      </c>
      <c r="EO112" s="62">
        <f ca="1">AVERAGE(OFFSET($EN$3,0,0,'Données projet'!$E$15+1,1))-AVERAGE(OFFSET($H$3,0,0,'Données projet'!$E$15+1,1))</f>
        <v>291.68530745507815</v>
      </c>
      <c r="EP112" s="62">
        <f t="shared" si="100"/>
        <v>175.95121106728979</v>
      </c>
      <c r="EQ112" s="16">
        <f>IF(ISNA(VLOOKUP(A112,'Données projet'!$A$191:$I$211,3,0)),0,VLOOKUP(A112,'Données projet'!$A$191:$I$211,3,0))</f>
        <v>6</v>
      </c>
      <c r="ER112" s="16">
        <f>IF(ISNA(VLOOKUP(A112,'Données projet'!$A$191:$I$211,4,0)),0,VLOOKUP(A112,'Données projet'!$A$191:$I$211,4,0))</f>
        <v>256.09230769230771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0</v>
      </c>
      <c r="EZ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65.554217623875701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-1.1368683772161603E-13</v>
      </c>
      <c r="FF112" s="18">
        <f>FE112*VLOOKUP('Données projet'!$B$16,Paramètres!$A$1:$I$89,3,0)*VLOOKUP('Données projet'!$B$16,Paramètres!$A$1:$I$89,5,0)</f>
        <v>-7.4487616075202823E-14</v>
      </c>
      <c r="FG112" s="14" t="e">
        <f t="shared" si="101"/>
        <v>#NUM!</v>
      </c>
      <c r="FH112" s="22" t="e">
        <f t="shared" si="76"/>
        <v>#NUM!</v>
      </c>
      <c r="FI112" s="62" t="e">
        <f t="shared" si="77"/>
        <v>#NUM!</v>
      </c>
      <c r="FJ112" s="62">
        <f ca="1">AVERAGE(OFFSET($FI$3,0,0,'Données projet'!$E$16+1,1))-AVERAGE(OFFSET($H$3,0,0,'Données projet'!$E$16+1,1))</f>
        <v>248.75689726928428</v>
      </c>
      <c r="FK112" s="62">
        <f t="shared" si="102"/>
        <v>232.02291680388336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projet'!$B$16,Paramètres!$A$1:$I$89,3,0)*0.475*44/12</f>
        <v>0</v>
      </c>
      <c r="FR112" s="23">
        <f>EXP(-LN(2)/25)*FR111+(1-EXP(-LN(2)/25))/(LN(2)/25)*Calculateur!FM112*Calculateur!FO112*VLOOKUP('Données projet'!$B$16,Paramètres!$A$1:$I$89,3,0)*0.475*44/12</f>
        <v>0</v>
      </c>
      <c r="FS112" s="23">
        <f>EXP(-LN(2)/2)*FS111+(1-EXP(-LN(2)/2))/(LN(2)/2)*FM112*FP112*VLOOKUP('Données projet'!$B$16,Paramètres!$A$1:$I$89,3,0)*0.475*44/12</f>
        <v>0</v>
      </c>
      <c r="FT112" s="24">
        <f t="shared" si="78"/>
        <v>0</v>
      </c>
      <c r="FU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65.554217623875701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5.1159076974727213E-13</v>
      </c>
      <c r="GA112" s="18">
        <f>FZ112*VLOOKUP('Données projet'!$B$17,Paramètres!$A$1:$I$89,3,0)*VLOOKUP('Données projet'!$B$17,Paramètres!$A$1:$I$89,5,0)</f>
        <v>3.0593128030886877E-13</v>
      </c>
      <c r="GB112" s="14">
        <f t="shared" si="103"/>
        <v>4.0350537939347394E-12</v>
      </c>
      <c r="GC112" s="22">
        <f t="shared" si="79"/>
        <v>7.5605490043076185E-12</v>
      </c>
      <c r="GD112" s="62">
        <f t="shared" si="80"/>
        <v>277.03213128755181</v>
      </c>
      <c r="GE112" s="62">
        <f ca="1">AVERAGE(OFFSET($GD$3,0,0,'Données projet'!$E$17+1,1))-AVERAGE(OFFSET($H$3,0,0,'Données projet'!$E$17+1,1))</f>
        <v>315.909549580511</v>
      </c>
      <c r="GF112" s="62">
        <f t="shared" si="104"/>
        <v>208.56856525402051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projet'!$B$17,Paramètres!$A$1:$I$89,3,0)*0.475*44/12</f>
        <v>0</v>
      </c>
      <c r="GM112" s="23">
        <f>EXP(-LN(2)/25)*GM111+(1-EXP(-LN(2)/25))/(LN(2)/25)*Calculateur!GH112*Calculateur!GJ112*VLOOKUP('Données projet'!$B$17,Paramètres!$A$1:$I$89,3,0)*0.475*44/12</f>
        <v>0</v>
      </c>
      <c r="GN112" s="23">
        <f>EXP(-LN(2)/2)*GN111+(1-EXP(-LN(2)/2))/(LN(2)/2)*GH112*GK112*VLOOKUP('Données projet'!$B$17,Paramètres!$A$1:$I$89,3,0)*0.475*44/12</f>
        <v>0</v>
      </c>
      <c r="GO112" s="23">
        <f t="shared" si="81"/>
        <v>0</v>
      </c>
      <c r="GP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65.554217623875701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2.4358974358974366</v>
      </c>
      <c r="GU112" s="13">
        <f>IF('Données projet'!$A$270&gt;35,GU111+GT112-HC111,IF(A112&lt;'Données projet'!$A$270,$GR$205^A112,IF(A112='Données projet'!$A$270,'Données projet'!$B$270,GU111+GT112-HC111)))</f>
        <v>216.15384615384627</v>
      </c>
      <c r="GV112" s="18">
        <f>GU112*VLOOKUP('Données projet'!$B$18,Paramètres!$A$1:$I$89,3,0)*VLOOKUP('Données projet'!$B$18,Paramètres!$A$1:$I$89,5,0)</f>
        <v>144.99600000000007</v>
      </c>
      <c r="GW112" s="14">
        <f t="shared" si="105"/>
        <v>37.439172872855515</v>
      </c>
      <c r="GX112" s="22">
        <f t="shared" si="82"/>
        <v>317.74125942022346</v>
      </c>
      <c r="GY112" s="62">
        <f t="shared" si="83"/>
        <v>594.7733907077677</v>
      </c>
      <c r="GZ112" s="62">
        <f ca="1">AVERAGE(OFFSET($GY$3,0,0,'Données projet'!$E$18+1,1))-AVERAGE(OFFSET($H$3,0,0,'Données projet'!$E$18+1,1))</f>
        <v>254.35742752782755</v>
      </c>
      <c r="HA112" s="62">
        <f t="shared" si="106"/>
        <v>171.79611712137395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>
        <f>EXP(-LN(2)/35)*HG111+(1-EXP(-LN(2)/35))/(LN(2)/35)*HC112*HD112*VLOOKUP('Données projet'!$B$18,Paramètres!$A$1:$I$89,3,0)*0.475*44/12</f>
        <v>0</v>
      </c>
      <c r="HH112" s="23">
        <f>EXP(-LN(2)/25)*HH111+(1-EXP(-LN(2)/25))/(LN(2)/25)*Calculateur!HC112*Calculateur!HE112*VLOOKUP('Données projet'!$B$18,Paramètres!$A$1:$I$89,3,0)*0.475*44/12</f>
        <v>0</v>
      </c>
      <c r="HI112" s="23">
        <f>EXP(-LN(2)/2)*HI111+(1-EXP(-LN(2)/2))/(LN(2)/2)*HC112*HF112*VLOOKUP('Données projet'!$B$18,Paramètres!$A$1:$I$89,3,0)*0.475*44/12</f>
        <v>0</v>
      </c>
      <c r="HJ112" s="24">
        <f t="shared" si="84"/>
        <v>0</v>
      </c>
    </row>
    <row r="113" spans="1:218" s="5" customFormat="1" x14ac:dyDescent="0.3">
      <c r="A113" s="11">
        <f t="shared" si="85"/>
        <v>110</v>
      </c>
      <c r="B113" s="76">
        <f>'Scénario référence'!$B$16*5+'Scénario référence'!$B$17*0+'Scénario référence'!$B$18*5</f>
        <v>3.9405000000000001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14.448500000000001</v>
      </c>
      <c r="H113" s="69">
        <f t="shared" si="56"/>
        <v>161.30656666666667</v>
      </c>
      <c r="I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65.631342008821079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210.54472399593521</v>
      </c>
      <c r="T113" s="62">
        <f t="shared" si="88"/>
        <v>181.14158435194193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65.631342008821079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289.05608923588198</v>
      </c>
      <c r="AO113" s="62">
        <f t="shared" si="90"/>
        <v>220.06639020312738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65.631342008821079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116.53333333333335</v>
      </c>
      <c r="BB113" s="13">
        <f>VLOOKUP(A113,'Données projet'!$A$87:$I$107,9,0)</f>
        <v>1.3833333333333342</v>
      </c>
      <c r="BC113" s="13">
        <f t="array" ref="BC113">INDEX(BB:BB,MIN(IF(ISNUMBER(BB113:BB309),ROW(BB113:BB309),"")))</f>
        <v>1.3833333333333342</v>
      </c>
      <c r="BD113" s="13">
        <f>IF('Données projet'!$A$88&gt;35,BD112+BC113-BL112,IF(A113&lt;'Données projet'!$A$88,$BA$205^A113,IF(A113='Données projet'!$A$88,'Données projet'!$B$88,BD112+BC113-BL112)))</f>
        <v>116.53333333333332</v>
      </c>
      <c r="BE113" s="14">
        <f>BD113*VLOOKUP('Données projet'!$B$11,Paramètres!$A$1:$I$89,3,0)*VLOOKUP('Données projet'!$B$11,Paramètres!$A$1:$I$89,5,0)</f>
        <v>134.24639999999997</v>
      </c>
      <c r="BF113" s="14">
        <f t="shared" si="91"/>
        <v>34.975734610428823</v>
      </c>
      <c r="BG113" s="22">
        <f t="shared" si="61"/>
        <v>294.72855111316346</v>
      </c>
      <c r="BH113" s="62">
        <f t="shared" si="62"/>
        <v>572.04347181217418</v>
      </c>
      <c r="BI113" s="62">
        <f ca="1">AVERAGE(OFFSET($BH$3,0,0,'Données projet'!$E$11+1,1))-AVERAGE(OFFSET($H$3,0,0,'Données projet'!$E$11+1,1))</f>
        <v>299.54950406029354</v>
      </c>
      <c r="BJ113" s="62">
        <f t="shared" si="92"/>
        <v>208.26364698165739</v>
      </c>
      <c r="BK113" s="16">
        <f>IF(ISNA(VLOOKUP(A113,'Données projet'!$A$87:$I$107,3,0)),0,VLOOKUP(A113,'Données projet'!$A$87:$I$107,3,0))</f>
        <v>9</v>
      </c>
      <c r="BL113" s="16">
        <f>IF(ISNA(VLOOKUP(A113,'Données projet'!$A$87:$I$107,4,0)),0,VLOOKUP(A113,'Données projet'!$A$87:$I$107,4,0))</f>
        <v>9.0416666666666661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65.631342008821079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2.4358974358974348</v>
      </c>
      <c r="BY113" s="13">
        <f>IF('Données projet'!$A$114&gt;35,BY112+BX113-CG112,IF(A113&lt;'Données projet'!$A$114,$BV$205^A113,IF(A113='Données projet'!$A$114,'Données projet'!$B$114,BY112+BX113-CG112)))</f>
        <v>242.30769230769229</v>
      </c>
      <c r="BZ113" s="14">
        <f>BY113*VLOOKUP('Données projet'!$B$12,Paramètres!$A$1:$I$89,3,0)*VLOOKUP('Données projet'!$B$12,Paramètres!$A$1:$I$89,5,0)</f>
        <v>260.82</v>
      </c>
      <c r="CA113" s="14">
        <f t="shared" si="93"/>
        <v>62.897136773269288</v>
      </c>
      <c r="CB113" s="22">
        <f t="shared" si="64"/>
        <v>563.80734654677724</v>
      </c>
      <c r="CC113" s="62">
        <f t="shared" si="65"/>
        <v>841.12226724578795</v>
      </c>
      <c r="CD113" s="62">
        <f ca="1">AVERAGE(OFFSET($CC$3,0,0,'Données projet'!$E$12+1,1))-AVERAGE(OFFSET($H$3,0,0,'Données projet'!$E$12+1,1))</f>
        <v>441.30518831297212</v>
      </c>
      <c r="CE113" s="62">
        <f t="shared" si="94"/>
        <v>270.42872405271851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65.631342008821079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-1.1368683772161603E-13</v>
      </c>
      <c r="CU113" s="18">
        <f>CT113*VLOOKUP('Données projet'!$B$13,Paramètres!$A$1:$I$89,3,0)*VLOOKUP('Données projet'!$B$13,Paramètres!$A$1:$I$89,5,0)</f>
        <v>-9.9316821433603781E-14</v>
      </c>
      <c r="CV113" s="14" t="e">
        <f t="shared" si="95"/>
        <v>#NUM!</v>
      </c>
      <c r="CW113" s="22" t="e">
        <f t="shared" si="67"/>
        <v>#NUM!</v>
      </c>
      <c r="CX113" s="62" t="e">
        <f t="shared" si="68"/>
        <v>#NUM!</v>
      </c>
      <c r="CY113" s="62">
        <f ca="1">AVERAGE(OFFSET($CX$3,0,0,'Données projet'!$E$13+1,1))-AVERAGE(OFFSET($H$3,0,0,'Données projet'!$E$13+1,1))</f>
        <v>310.81258463659196</v>
      </c>
      <c r="CZ113" s="62">
        <f t="shared" si="96"/>
        <v>287.31099756692083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65.631342008821079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2.4358974358974348</v>
      </c>
      <c r="DO113" s="13">
        <f>IF('Données projet'!$A$166&gt;35,DO112+DN113-DW112,IF(A113&lt;'Données projet'!$A$166,$DL$205^A113,IF(A113='Données projet'!$A$166,'Données projet'!$B$166,DO112+DN113-DW112)))</f>
        <v>242.30769230769229</v>
      </c>
      <c r="DP113" s="18">
        <f>DO113*VLOOKUP('Données projet'!$B$14,Paramètres!$A$1:$I$89,3,0)*VLOOKUP('Données projet'!$B$14,Paramètres!$A$1:$I$89,5,0)</f>
        <v>253.26</v>
      </c>
      <c r="DQ113" s="14">
        <f t="shared" si="97"/>
        <v>61.283493548097894</v>
      </c>
      <c r="DR113" s="22">
        <f t="shared" si="70"/>
        <v>547.82991792960388</v>
      </c>
      <c r="DS113" s="62">
        <f t="shared" si="71"/>
        <v>825.14483862861448</v>
      </c>
      <c r="DT113" s="62">
        <f ca="1">AVERAGE(OFFSET($DS$3,0,0,'Données projet'!$E$14+1,1))-AVERAGE(OFFSET($H$3,0,0,'Données projet'!$E$14+1,1))</f>
        <v>431.19274104373625</v>
      </c>
      <c r="DU113" s="62">
        <f t="shared" si="98"/>
        <v>264.67919175178133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65.631342008821079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-6.2527760746888816E-13</v>
      </c>
      <c r="EK113" s="18">
        <f>EJ113*VLOOKUP('Données projet'!$B$15,Paramètres!$A$1:$I$89,3,0)*VLOOKUP('Données projet'!$B$15,Paramètres!$A$1:$I$89,5,0)</f>
        <v>-2.9262992029543964E-13</v>
      </c>
      <c r="EL113" s="14" t="e">
        <f t="shared" si="99"/>
        <v>#NUM!</v>
      </c>
      <c r="EM113" s="22" t="e">
        <f t="shared" si="73"/>
        <v>#NUM!</v>
      </c>
      <c r="EN113" s="62" t="e">
        <f t="shared" si="74"/>
        <v>#NUM!</v>
      </c>
      <c r="EO113" s="62">
        <f ca="1">AVERAGE(OFFSET($EN$3,0,0,'Données projet'!$E$15+1,1))-AVERAGE(OFFSET($H$3,0,0,'Données projet'!$E$15+1,1))</f>
        <v>291.68530745507815</v>
      </c>
      <c r="EP113" s="62">
        <f t="shared" si="100"/>
        <v>175.95121106728979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0</v>
      </c>
      <c r="EZ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65.631342008821079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-1.1368683772161603E-13</v>
      </c>
      <c r="FF113" s="18">
        <f>FE113*VLOOKUP('Données projet'!$B$16,Paramètres!$A$1:$I$89,3,0)*VLOOKUP('Données projet'!$B$16,Paramètres!$A$1:$I$89,5,0)</f>
        <v>-7.4487616075202823E-14</v>
      </c>
      <c r="FG113" s="14" t="e">
        <f t="shared" si="101"/>
        <v>#NUM!</v>
      </c>
      <c r="FH113" s="22" t="e">
        <f t="shared" si="76"/>
        <v>#NUM!</v>
      </c>
      <c r="FI113" s="62" t="e">
        <f t="shared" si="77"/>
        <v>#NUM!</v>
      </c>
      <c r="FJ113" s="62">
        <f ca="1">AVERAGE(OFFSET($FI$3,0,0,'Données projet'!$E$16+1,1))-AVERAGE(OFFSET($H$3,0,0,'Données projet'!$E$16+1,1))</f>
        <v>248.75689726928428</v>
      </c>
      <c r="FK113" s="62">
        <f t="shared" si="102"/>
        <v>232.02291680388336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projet'!$B$16,Paramètres!$A$1:$I$89,3,0)*0.475*44/12</f>
        <v>0</v>
      </c>
      <c r="FR113" s="23">
        <f>EXP(-LN(2)/25)*FR112+(1-EXP(-LN(2)/25))/(LN(2)/25)*Calculateur!FM113*Calculateur!FO113*VLOOKUP('Données projet'!$B$16,Paramètres!$A$1:$I$89,3,0)*0.475*44/12</f>
        <v>0</v>
      </c>
      <c r="FS113" s="23">
        <f>EXP(-LN(2)/2)*FS112+(1-EXP(-LN(2)/2))/(LN(2)/2)*FM113*FP113*VLOOKUP('Données projet'!$B$16,Paramètres!$A$1:$I$89,3,0)*0.475*44/12</f>
        <v>0</v>
      </c>
      <c r="FT113" s="24">
        <f t="shared" si="78"/>
        <v>0</v>
      </c>
      <c r="FU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65.631342008821079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5.1159076974727213E-13</v>
      </c>
      <c r="GA113" s="18">
        <f>FZ113*VLOOKUP('Données projet'!$B$17,Paramètres!$A$1:$I$89,3,0)*VLOOKUP('Données projet'!$B$17,Paramètres!$A$1:$I$89,5,0)</f>
        <v>3.0593128030886877E-13</v>
      </c>
      <c r="GB113" s="14">
        <f t="shared" si="103"/>
        <v>4.0350537939347394E-12</v>
      </c>
      <c r="GC113" s="22">
        <f t="shared" si="79"/>
        <v>7.5605490043076185E-12</v>
      </c>
      <c r="GD113" s="62">
        <f t="shared" si="80"/>
        <v>277.31492069901822</v>
      </c>
      <c r="GE113" s="62">
        <f ca="1">AVERAGE(OFFSET($GD$3,0,0,'Données projet'!$E$17+1,1))-AVERAGE(OFFSET($H$3,0,0,'Données projet'!$E$17+1,1))</f>
        <v>315.909549580511</v>
      </c>
      <c r="GF113" s="62">
        <f t="shared" si="104"/>
        <v>208.56856525402051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projet'!$B$17,Paramètres!$A$1:$I$89,3,0)*0.475*44/12</f>
        <v>0</v>
      </c>
      <c r="GM113" s="23">
        <f>EXP(-LN(2)/25)*GM112+(1-EXP(-LN(2)/25))/(LN(2)/25)*Calculateur!GH113*Calculateur!GJ113*VLOOKUP('Données projet'!$B$17,Paramètres!$A$1:$I$89,3,0)*0.475*44/12</f>
        <v>0</v>
      </c>
      <c r="GN113" s="23">
        <f>EXP(-LN(2)/2)*GN112+(1-EXP(-LN(2)/2))/(LN(2)/2)*GH113*GK113*VLOOKUP('Données projet'!$B$17,Paramètres!$A$1:$I$89,3,0)*0.475*44/12</f>
        <v>0</v>
      </c>
      <c r="GO113" s="23">
        <f t="shared" si="81"/>
        <v>0</v>
      </c>
      <c r="GP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65.631342008821079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>
        <f>VLOOKUP(A113,'Données projet'!$A$269:$I$289,2,0)</f>
        <v>218.58974358974359</v>
      </c>
      <c r="GS113" s="13">
        <f>VLOOKUP(A113,'Données projet'!$A$269:$I$289,9,0)</f>
        <v>2.4358974358974366</v>
      </c>
      <c r="GT113" s="13">
        <f t="array" ref="GT113">INDEX(GS:GS,MIN(IF(ISNUMBER(GS113:GS309),ROW(GS113:GS309),"")))</f>
        <v>2.4358974358974366</v>
      </c>
      <c r="GU113" s="13">
        <f>IF('Données projet'!$A$270&gt;35,GU112+GT113-HC112,IF(A113&lt;'Données projet'!$A$270,$GR$205^A113,IF(A113='Données projet'!$A$270,'Données projet'!$B$270,GU112+GT113-HC112)))</f>
        <v>218.5897435897437</v>
      </c>
      <c r="GV113" s="18">
        <f>GU113*VLOOKUP('Données projet'!$B$18,Paramètres!$A$1:$I$89,3,0)*VLOOKUP('Données projet'!$B$18,Paramètres!$A$1:$I$89,5,0)</f>
        <v>146.63000000000008</v>
      </c>
      <c r="GW113" s="14">
        <f t="shared" si="105"/>
        <v>37.811731167176845</v>
      </c>
      <c r="GX113" s="22">
        <f t="shared" si="82"/>
        <v>321.23601511616647</v>
      </c>
      <c r="GY113" s="62">
        <f t="shared" si="83"/>
        <v>598.55093581517713</v>
      </c>
      <c r="GZ113" s="62">
        <f ca="1">AVERAGE(OFFSET($GY$3,0,0,'Données projet'!$E$18+1,1))-AVERAGE(OFFSET($H$3,0,0,'Données projet'!$E$18+1,1))</f>
        <v>254.35742752782755</v>
      </c>
      <c r="HA113" s="62">
        <f t="shared" si="106"/>
        <v>171.79611712137395</v>
      </c>
      <c r="HB113" s="16">
        <f>IF(ISNA(VLOOKUP(A113,'Données projet'!$A$269:$I$289,3,0)),0,VLOOKUP(A113,'Données projet'!$A$269:$I$289,3,0))</f>
        <v>9</v>
      </c>
      <c r="HC113" s="16">
        <f>IF(ISNA(VLOOKUP(A113,'Données projet'!$A$269:$I$289,4,0)),0,VLOOKUP(A113,'Données projet'!$A$269:$I$289,4,0))</f>
        <v>218.58974358974359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>
        <f>EXP(-LN(2)/35)*HG112+(1-EXP(-LN(2)/35))/(LN(2)/35)*HC113*HD113*VLOOKUP('Données projet'!$B$18,Paramètres!$A$1:$I$89,3,0)*0.475*44/12</f>
        <v>0</v>
      </c>
      <c r="HH113" s="23">
        <f>EXP(-LN(2)/25)*HH112+(1-EXP(-LN(2)/25))/(LN(2)/25)*Calculateur!HC113*Calculateur!HE113*VLOOKUP('Données projet'!$B$18,Paramètres!$A$1:$I$89,3,0)*0.475*44/12</f>
        <v>0</v>
      </c>
      <c r="HI113" s="23">
        <f>EXP(-LN(2)/2)*HI112+(1-EXP(-LN(2)/2))/(LN(2)/2)*HC113*HF113*VLOOKUP('Données projet'!$B$18,Paramètres!$A$1:$I$89,3,0)*0.475*44/12</f>
        <v>0</v>
      </c>
      <c r="HJ113" s="24">
        <f t="shared" si="84"/>
        <v>0</v>
      </c>
    </row>
    <row r="114" spans="1:218" s="5" customFormat="1" x14ac:dyDescent="0.3">
      <c r="A114" s="11">
        <f t="shared" si="85"/>
        <v>111</v>
      </c>
      <c r="B114" s="76">
        <f>'Scénario référence'!$B$16*5+'Scénario référence'!$B$17*0+'Scénario référence'!$B$18*5</f>
        <v>3.9405000000000001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14.448500000000001</v>
      </c>
      <c r="H114" s="69">
        <f t="shared" si="56"/>
        <v>161.30656666666667</v>
      </c>
      <c r="I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65.707128458111939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210.54472399593521</v>
      </c>
      <c r="T114" s="62">
        <f t="shared" si="88"/>
        <v>181.14158435194193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65.707128458111939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289.05608923588198</v>
      </c>
      <c r="AO114" s="62">
        <f t="shared" si="90"/>
        <v>220.06639020312738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65.707128458111939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1.3150000000000006</v>
      </c>
      <c r="BD114" s="13">
        <f>IF('Données projet'!$A$88&gt;35,BD113+BC114-BL113,IF(A114&lt;'Données projet'!$A$88,$BA$205^A114,IF(A114='Données projet'!$A$88,'Données projet'!$B$88,BD113+BC114-BL113)))</f>
        <v>108.80666666666664</v>
      </c>
      <c r="BE114" s="14">
        <f>BD114*VLOOKUP('Données projet'!$B$11,Paramètres!$A$1:$I$89,3,0)*VLOOKUP('Données projet'!$B$11,Paramètres!$A$1:$I$89,5,0)</f>
        <v>125.34527999999997</v>
      </c>
      <c r="BF114" s="14">
        <f t="shared" si="91"/>
        <v>32.918518403213277</v>
      </c>
      <c r="BG114" s="22">
        <f t="shared" si="61"/>
        <v>275.64278221892977</v>
      </c>
      <c r="BH114" s="62">
        <f t="shared" si="62"/>
        <v>553.23558656534021</v>
      </c>
      <c r="BI114" s="62">
        <f ca="1">AVERAGE(OFFSET($BH$3,0,0,'Données projet'!$E$11+1,1))-AVERAGE(OFFSET($H$3,0,0,'Données projet'!$E$11+1,1))</f>
        <v>299.54950406029354</v>
      </c>
      <c r="BJ114" s="62">
        <f t="shared" si="92"/>
        <v>208.26364698165739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65.707128458111939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2.4358974358974348</v>
      </c>
      <c r="BY114" s="13">
        <f>IF('Données projet'!$A$114&gt;35,BY113+BX114-CG113,IF(A114&lt;'Données projet'!$A$114,$BV$205^A114,IF(A114='Données projet'!$A$114,'Données projet'!$B$114,BY113+BX114-CG113)))</f>
        <v>244.74358974358972</v>
      </c>
      <c r="BZ114" s="14">
        <f>BY114*VLOOKUP('Données projet'!$B$12,Paramètres!$A$1:$I$89,3,0)*VLOOKUP('Données projet'!$B$12,Paramètres!$A$1:$I$89,5,0)</f>
        <v>263.44199999999995</v>
      </c>
      <c r="CA114" s="14">
        <f t="shared" si="93"/>
        <v>63.455510730932602</v>
      </c>
      <c r="CB114" s="22">
        <f t="shared" si="64"/>
        <v>569.34649785637419</v>
      </c>
      <c r="CC114" s="62">
        <f t="shared" si="65"/>
        <v>846.93930220278457</v>
      </c>
      <c r="CD114" s="62">
        <f ca="1">AVERAGE(OFFSET($CC$3,0,0,'Données projet'!$E$12+1,1))-AVERAGE(OFFSET($H$3,0,0,'Données projet'!$E$12+1,1))</f>
        <v>441.30518831297212</v>
      </c>
      <c r="CE114" s="62">
        <f t="shared" si="94"/>
        <v>270.42872405271851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65.707128458111939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-1.1368683772161603E-13</v>
      </c>
      <c r="CU114" s="18">
        <f>CT114*VLOOKUP('Données projet'!$B$13,Paramètres!$A$1:$I$89,3,0)*VLOOKUP('Données projet'!$B$13,Paramètres!$A$1:$I$89,5,0)</f>
        <v>-9.9316821433603781E-14</v>
      </c>
      <c r="CV114" s="14" t="e">
        <f t="shared" si="95"/>
        <v>#NUM!</v>
      </c>
      <c r="CW114" s="22" t="e">
        <f t="shared" si="67"/>
        <v>#NUM!</v>
      </c>
      <c r="CX114" s="62" t="e">
        <f t="shared" si="68"/>
        <v>#NUM!</v>
      </c>
      <c r="CY114" s="62">
        <f ca="1">AVERAGE(OFFSET($CX$3,0,0,'Données projet'!$E$13+1,1))-AVERAGE(OFFSET($H$3,0,0,'Données projet'!$E$13+1,1))</f>
        <v>310.81258463659196</v>
      </c>
      <c r="CZ114" s="62">
        <f t="shared" si="96"/>
        <v>287.31099756692083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65.707128458111939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2.4358974358974348</v>
      </c>
      <c r="DO114" s="13">
        <f>IF('Données projet'!$A$166&gt;35,DO113+DN114-DW113,IF(A114&lt;'Données projet'!$A$166,$DL$205^A114,IF(A114='Données projet'!$A$166,'Données projet'!$B$166,DO113+DN114-DW113)))</f>
        <v>244.74358974358972</v>
      </c>
      <c r="DP114" s="18">
        <f>DO114*VLOOKUP('Données projet'!$B$14,Paramètres!$A$1:$I$89,3,0)*VLOOKUP('Données projet'!$B$14,Paramètres!$A$1:$I$89,5,0)</f>
        <v>255.80600000000001</v>
      </c>
      <c r="DQ114" s="14">
        <f t="shared" si="97"/>
        <v>61.827542269349571</v>
      </c>
      <c r="DR114" s="22">
        <f t="shared" si="70"/>
        <v>553.2117527857838</v>
      </c>
      <c r="DS114" s="62">
        <f t="shared" si="71"/>
        <v>830.8045571321943</v>
      </c>
      <c r="DT114" s="62">
        <f ca="1">AVERAGE(OFFSET($DS$3,0,0,'Données projet'!$E$14+1,1))-AVERAGE(OFFSET($H$3,0,0,'Données projet'!$E$14+1,1))</f>
        <v>431.19274104373625</v>
      </c>
      <c r="DU114" s="62">
        <f t="shared" si="98"/>
        <v>264.67919175178133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65.707128458111939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-6.2527760746888816E-13</v>
      </c>
      <c r="EK114" s="18">
        <f>EJ114*VLOOKUP('Données projet'!$B$15,Paramètres!$A$1:$I$89,3,0)*VLOOKUP('Données projet'!$B$15,Paramètres!$A$1:$I$89,5,0)</f>
        <v>-2.9262992029543964E-13</v>
      </c>
      <c r="EL114" s="14" t="e">
        <f t="shared" si="99"/>
        <v>#NUM!</v>
      </c>
      <c r="EM114" s="22" t="e">
        <f t="shared" si="73"/>
        <v>#NUM!</v>
      </c>
      <c r="EN114" s="62" t="e">
        <f t="shared" si="74"/>
        <v>#NUM!</v>
      </c>
      <c r="EO114" s="62">
        <f ca="1">AVERAGE(OFFSET($EN$3,0,0,'Données projet'!$E$15+1,1))-AVERAGE(OFFSET($H$3,0,0,'Données projet'!$E$15+1,1))</f>
        <v>291.68530745507815</v>
      </c>
      <c r="EP114" s="62">
        <f t="shared" si="100"/>
        <v>175.95121106728979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0</v>
      </c>
      <c r="EZ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65.707128458111939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-1.1368683772161603E-13</v>
      </c>
      <c r="FF114" s="18">
        <f>FE114*VLOOKUP('Données projet'!$B$16,Paramètres!$A$1:$I$89,3,0)*VLOOKUP('Données projet'!$B$16,Paramètres!$A$1:$I$89,5,0)</f>
        <v>-7.4487616075202823E-14</v>
      </c>
      <c r="FG114" s="14" t="e">
        <f t="shared" si="101"/>
        <v>#NUM!</v>
      </c>
      <c r="FH114" s="22" t="e">
        <f t="shared" si="76"/>
        <v>#NUM!</v>
      </c>
      <c r="FI114" s="62" t="e">
        <f t="shared" si="77"/>
        <v>#NUM!</v>
      </c>
      <c r="FJ114" s="62">
        <f ca="1">AVERAGE(OFFSET($FI$3,0,0,'Données projet'!$E$16+1,1))-AVERAGE(OFFSET($H$3,0,0,'Données projet'!$E$16+1,1))</f>
        <v>248.75689726928428</v>
      </c>
      <c r="FK114" s="62">
        <f t="shared" si="102"/>
        <v>232.02291680388336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projet'!$B$16,Paramètres!$A$1:$I$89,3,0)*0.475*44/12</f>
        <v>0</v>
      </c>
      <c r="FR114" s="23">
        <f>EXP(-LN(2)/25)*FR113+(1-EXP(-LN(2)/25))/(LN(2)/25)*Calculateur!FM114*Calculateur!FO114*VLOOKUP('Données projet'!$B$16,Paramètres!$A$1:$I$89,3,0)*0.475*44/12</f>
        <v>0</v>
      </c>
      <c r="FS114" s="23">
        <f>EXP(-LN(2)/2)*FS113+(1-EXP(-LN(2)/2))/(LN(2)/2)*FM114*FP114*VLOOKUP('Données projet'!$B$16,Paramètres!$A$1:$I$89,3,0)*0.475*44/12</f>
        <v>0</v>
      </c>
      <c r="FT114" s="24">
        <f t="shared" si="78"/>
        <v>0</v>
      </c>
      <c r="FU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65.707128458111939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5.1159076974727213E-13</v>
      </c>
      <c r="GA114" s="18">
        <f>FZ114*VLOOKUP('Données projet'!$B$17,Paramètres!$A$1:$I$89,3,0)*VLOOKUP('Données projet'!$B$17,Paramètres!$A$1:$I$89,5,0)</f>
        <v>3.0593128030886877E-13</v>
      </c>
      <c r="GB114" s="14">
        <f t="shared" si="103"/>
        <v>4.0350537939347394E-12</v>
      </c>
      <c r="GC114" s="22">
        <f t="shared" si="79"/>
        <v>7.5605490043076185E-12</v>
      </c>
      <c r="GD114" s="62">
        <f t="shared" si="80"/>
        <v>277.59280434641801</v>
      </c>
      <c r="GE114" s="62">
        <f ca="1">AVERAGE(OFFSET($GD$3,0,0,'Données projet'!$E$17+1,1))-AVERAGE(OFFSET($H$3,0,0,'Données projet'!$E$17+1,1))</f>
        <v>315.909549580511</v>
      </c>
      <c r="GF114" s="62">
        <f t="shared" si="104"/>
        <v>208.56856525402051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projet'!$B$17,Paramètres!$A$1:$I$89,3,0)*0.475*44/12</f>
        <v>0</v>
      </c>
      <c r="GM114" s="23">
        <f>EXP(-LN(2)/25)*GM113+(1-EXP(-LN(2)/25))/(LN(2)/25)*Calculateur!GH114*Calculateur!GJ114*VLOOKUP('Données projet'!$B$17,Paramètres!$A$1:$I$89,3,0)*0.475*44/12</f>
        <v>0</v>
      </c>
      <c r="GN114" s="23">
        <f>EXP(-LN(2)/2)*GN113+(1-EXP(-LN(2)/2))/(LN(2)/2)*GH114*GK114*VLOOKUP('Données projet'!$B$17,Paramètres!$A$1:$I$89,3,0)*0.475*44/12</f>
        <v>0</v>
      </c>
      <c r="GO114" s="23">
        <f t="shared" si="81"/>
        <v>0</v>
      </c>
      <c r="GP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65.707128458111939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1.1368683772161603E-13</v>
      </c>
      <c r="GV114" s="18">
        <f>GU114*VLOOKUP('Données projet'!$B$18,Paramètres!$A$1:$I$89,3,0)*VLOOKUP('Données projet'!$B$18,Paramètres!$A$1:$I$89,5,0)</f>
        <v>7.626113074366004E-14</v>
      </c>
      <c r="GW114" s="14">
        <f t="shared" si="105"/>
        <v>1.1823749172251317E-12</v>
      </c>
      <c r="GX114" s="22">
        <f t="shared" si="82"/>
        <v>2.1921244502123119E-12</v>
      </c>
      <c r="GY114" s="62">
        <f t="shared" si="83"/>
        <v>277.59280434641266</v>
      </c>
      <c r="GZ114" s="62">
        <f ca="1">AVERAGE(OFFSET($GY$3,0,0,'Données projet'!$E$18+1,1))-AVERAGE(OFFSET($H$3,0,0,'Données projet'!$E$18+1,1))</f>
        <v>254.35742752782755</v>
      </c>
      <c r="HA114" s="62">
        <f t="shared" si="106"/>
        <v>171.79611712137395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>
        <f>EXP(-LN(2)/35)*HG113+(1-EXP(-LN(2)/35))/(LN(2)/35)*HC114*HD114*VLOOKUP('Données projet'!$B$18,Paramètres!$A$1:$I$89,3,0)*0.475*44/12</f>
        <v>0</v>
      </c>
      <c r="HH114" s="23">
        <f>EXP(-LN(2)/25)*HH113+(1-EXP(-LN(2)/25))/(LN(2)/25)*Calculateur!HC114*Calculateur!HE114*VLOOKUP('Données projet'!$B$18,Paramètres!$A$1:$I$89,3,0)*0.475*44/12</f>
        <v>0</v>
      </c>
      <c r="HI114" s="23">
        <f>EXP(-LN(2)/2)*HI113+(1-EXP(-LN(2)/2))/(LN(2)/2)*HC114*HF114*VLOOKUP('Données projet'!$B$18,Paramètres!$A$1:$I$89,3,0)*0.475*44/12</f>
        <v>0</v>
      </c>
      <c r="HJ114" s="24">
        <f t="shared" si="84"/>
        <v>0</v>
      </c>
    </row>
    <row r="115" spans="1:218" s="5" customFormat="1" x14ac:dyDescent="0.3">
      <c r="A115" s="11">
        <f t="shared" si="85"/>
        <v>112</v>
      </c>
      <c r="B115" s="76">
        <f>'Scénario référence'!$B$16*5+'Scénario référence'!$B$17*0+'Scénario référence'!$B$18*5</f>
        <v>3.9405000000000001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14.448500000000001</v>
      </c>
      <c r="H115" s="69">
        <f t="shared" si="56"/>
        <v>161.30656666666667</v>
      </c>
      <c r="I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65.781600181940732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210.54472399593521</v>
      </c>
      <c r="T115" s="62">
        <f t="shared" si="88"/>
        <v>181.14158435194193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65.781600181940732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289.05608923588198</v>
      </c>
      <c r="AO115" s="62">
        <f t="shared" si="90"/>
        <v>220.06639020312738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65.781600181940732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1.3150000000000006</v>
      </c>
      <c r="BD115" s="13">
        <f>IF('Données projet'!$A$88&gt;35,BD114+BC115-BL114,IF(A115&lt;'Données projet'!$A$88,$BA$205^A115,IF(A115='Données projet'!$A$88,'Données projet'!$B$88,BD114+BC115-BL114)))</f>
        <v>110.12166666666664</v>
      </c>
      <c r="BE115" s="14">
        <f>BD115*VLOOKUP('Données projet'!$B$11,Paramètres!$A$1:$I$89,3,0)*VLOOKUP('Données projet'!$B$11,Paramètres!$A$1:$I$89,5,0)</f>
        <v>126.86015999999996</v>
      </c>
      <c r="BF115" s="14">
        <f t="shared" si="91"/>
        <v>33.269805353558191</v>
      </c>
      <c r="BG115" s="22">
        <f t="shared" si="61"/>
        <v>278.89302299078042</v>
      </c>
      <c r="BH115" s="62">
        <f t="shared" si="62"/>
        <v>556.75889032456303</v>
      </c>
      <c r="BI115" s="62">
        <f ca="1">AVERAGE(OFFSET($BH$3,0,0,'Données projet'!$E$11+1,1))-AVERAGE(OFFSET($H$3,0,0,'Données projet'!$E$11+1,1))</f>
        <v>299.54950406029354</v>
      </c>
      <c r="BJ115" s="62">
        <f t="shared" si="92"/>
        <v>208.26364698165739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65.781600181940732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2.4358974358974348</v>
      </c>
      <c r="BY115" s="13">
        <f>IF('Données projet'!$A$114&gt;35,BY114+BX115-CG114,IF(A115&lt;'Données projet'!$A$114,$BV$205^A115,IF(A115='Données projet'!$A$114,'Données projet'!$B$114,BY114+BX115-CG114)))</f>
        <v>247.17948717948715</v>
      </c>
      <c r="BZ115" s="14">
        <f>BY115*VLOOKUP('Données projet'!$B$12,Paramètres!$A$1:$I$89,3,0)*VLOOKUP('Données projet'!$B$12,Paramètres!$A$1:$I$89,5,0)</f>
        <v>266.06399999999996</v>
      </c>
      <c r="CA115" s="14">
        <f t="shared" si="93"/>
        <v>64.013238168769774</v>
      </c>
      <c r="CB115" s="22">
        <f t="shared" si="64"/>
        <v>574.88452314394056</v>
      </c>
      <c r="CC115" s="62">
        <f t="shared" si="65"/>
        <v>852.75039047772316</v>
      </c>
      <c r="CD115" s="62">
        <f ca="1">AVERAGE(OFFSET($CC$3,0,0,'Données projet'!$E$12+1,1))-AVERAGE(OFFSET($H$3,0,0,'Données projet'!$E$12+1,1))</f>
        <v>441.30518831297212</v>
      </c>
      <c r="CE115" s="62">
        <f t="shared" si="94"/>
        <v>270.42872405271851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65.781600181940732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-1.1368683772161603E-13</v>
      </c>
      <c r="CU115" s="18">
        <f>CT115*VLOOKUP('Données projet'!$B$13,Paramètres!$A$1:$I$89,3,0)*VLOOKUP('Données projet'!$B$13,Paramètres!$A$1:$I$89,5,0)</f>
        <v>-9.9316821433603781E-14</v>
      </c>
      <c r="CV115" s="14" t="e">
        <f t="shared" si="95"/>
        <v>#NUM!</v>
      </c>
      <c r="CW115" s="22" t="e">
        <f t="shared" si="67"/>
        <v>#NUM!</v>
      </c>
      <c r="CX115" s="62" t="e">
        <f t="shared" si="68"/>
        <v>#NUM!</v>
      </c>
      <c r="CY115" s="62">
        <f ca="1">AVERAGE(OFFSET($CX$3,0,0,'Données projet'!$E$13+1,1))-AVERAGE(OFFSET($H$3,0,0,'Données projet'!$E$13+1,1))</f>
        <v>310.81258463659196</v>
      </c>
      <c r="CZ115" s="62">
        <f t="shared" si="96"/>
        <v>287.31099756692083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65.781600181940732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2.4358974358974348</v>
      </c>
      <c r="DO115" s="13">
        <f>IF('Données projet'!$A$166&gt;35,DO114+DN115-DW114,IF(A115&lt;'Données projet'!$A$166,$DL$205^A115,IF(A115='Données projet'!$A$166,'Données projet'!$B$166,DO114+DN115-DW114)))</f>
        <v>247.17948717948715</v>
      </c>
      <c r="DP115" s="18">
        <f>DO115*VLOOKUP('Données projet'!$B$14,Paramètres!$A$1:$I$89,3,0)*VLOOKUP('Données projet'!$B$14,Paramètres!$A$1:$I$89,5,0)</f>
        <v>258.35199999999998</v>
      </c>
      <c r="DQ115" s="14">
        <f t="shared" si="97"/>
        <v>62.370961057417801</v>
      </c>
      <c r="DR115" s="22">
        <f t="shared" si="70"/>
        <v>558.59249050833591</v>
      </c>
      <c r="DS115" s="62">
        <f t="shared" si="71"/>
        <v>836.45835784211863</v>
      </c>
      <c r="DT115" s="62">
        <f ca="1">AVERAGE(OFFSET($DS$3,0,0,'Données projet'!$E$14+1,1))-AVERAGE(OFFSET($H$3,0,0,'Données projet'!$E$14+1,1))</f>
        <v>431.19274104373625</v>
      </c>
      <c r="DU115" s="62">
        <f t="shared" si="98"/>
        <v>264.67919175178133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65.781600181940732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-6.2527760746888816E-13</v>
      </c>
      <c r="EK115" s="18">
        <f>EJ115*VLOOKUP('Données projet'!$B$15,Paramètres!$A$1:$I$89,3,0)*VLOOKUP('Données projet'!$B$15,Paramètres!$A$1:$I$89,5,0)</f>
        <v>-2.9262992029543964E-13</v>
      </c>
      <c r="EL115" s="14" t="e">
        <f t="shared" si="99"/>
        <v>#NUM!</v>
      </c>
      <c r="EM115" s="22" t="e">
        <f t="shared" si="73"/>
        <v>#NUM!</v>
      </c>
      <c r="EN115" s="62" t="e">
        <f t="shared" si="74"/>
        <v>#NUM!</v>
      </c>
      <c r="EO115" s="62">
        <f ca="1">AVERAGE(OFFSET($EN$3,0,0,'Données projet'!$E$15+1,1))-AVERAGE(OFFSET($H$3,0,0,'Données projet'!$E$15+1,1))</f>
        <v>291.68530745507815</v>
      </c>
      <c r="EP115" s="62">
        <f t="shared" si="100"/>
        <v>175.95121106728979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0</v>
      </c>
      <c r="EZ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65.781600181940732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-1.1368683772161603E-13</v>
      </c>
      <c r="FF115" s="18">
        <f>FE115*VLOOKUP('Données projet'!$B$16,Paramètres!$A$1:$I$89,3,0)*VLOOKUP('Données projet'!$B$16,Paramètres!$A$1:$I$89,5,0)</f>
        <v>-7.4487616075202823E-14</v>
      </c>
      <c r="FG115" s="14" t="e">
        <f t="shared" si="101"/>
        <v>#NUM!</v>
      </c>
      <c r="FH115" s="22" t="e">
        <f t="shared" si="76"/>
        <v>#NUM!</v>
      </c>
      <c r="FI115" s="62" t="e">
        <f t="shared" si="77"/>
        <v>#NUM!</v>
      </c>
      <c r="FJ115" s="62">
        <f ca="1">AVERAGE(OFFSET($FI$3,0,0,'Données projet'!$E$16+1,1))-AVERAGE(OFFSET($H$3,0,0,'Données projet'!$E$16+1,1))</f>
        <v>248.75689726928428</v>
      </c>
      <c r="FK115" s="62">
        <f t="shared" si="102"/>
        <v>232.02291680388336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projet'!$B$16,Paramètres!$A$1:$I$89,3,0)*0.475*44/12</f>
        <v>0</v>
      </c>
      <c r="FR115" s="23">
        <f>EXP(-LN(2)/25)*FR114+(1-EXP(-LN(2)/25))/(LN(2)/25)*Calculateur!FM115*Calculateur!FO115*VLOOKUP('Données projet'!$B$16,Paramètres!$A$1:$I$89,3,0)*0.475*44/12</f>
        <v>0</v>
      </c>
      <c r="FS115" s="23">
        <f>EXP(-LN(2)/2)*FS114+(1-EXP(-LN(2)/2))/(LN(2)/2)*FM115*FP115*VLOOKUP('Données projet'!$B$16,Paramètres!$A$1:$I$89,3,0)*0.475*44/12</f>
        <v>0</v>
      </c>
      <c r="FT115" s="24">
        <f t="shared" si="78"/>
        <v>0</v>
      </c>
      <c r="FU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65.781600181940732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5.1159076974727213E-13</v>
      </c>
      <c r="GA115" s="18">
        <f>FZ115*VLOOKUP('Données projet'!$B$17,Paramètres!$A$1:$I$89,3,0)*VLOOKUP('Données projet'!$B$17,Paramètres!$A$1:$I$89,5,0)</f>
        <v>3.0593128030886877E-13</v>
      </c>
      <c r="GB115" s="14">
        <f t="shared" si="103"/>
        <v>4.0350537939347394E-12</v>
      </c>
      <c r="GC115" s="22">
        <f t="shared" si="79"/>
        <v>7.5605490043076185E-12</v>
      </c>
      <c r="GD115" s="62">
        <f t="shared" si="80"/>
        <v>277.86586733379022</v>
      </c>
      <c r="GE115" s="62">
        <f ca="1">AVERAGE(OFFSET($GD$3,0,0,'Données projet'!$E$17+1,1))-AVERAGE(OFFSET($H$3,0,0,'Données projet'!$E$17+1,1))</f>
        <v>315.909549580511</v>
      </c>
      <c r="GF115" s="62">
        <f t="shared" si="104"/>
        <v>208.56856525402051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projet'!$B$17,Paramètres!$A$1:$I$89,3,0)*0.475*44/12</f>
        <v>0</v>
      </c>
      <c r="GM115" s="23">
        <f>EXP(-LN(2)/25)*GM114+(1-EXP(-LN(2)/25))/(LN(2)/25)*Calculateur!GH115*Calculateur!GJ115*VLOOKUP('Données projet'!$B$17,Paramètres!$A$1:$I$89,3,0)*0.475*44/12</f>
        <v>0</v>
      </c>
      <c r="GN115" s="23">
        <f>EXP(-LN(2)/2)*GN114+(1-EXP(-LN(2)/2))/(LN(2)/2)*GH115*GK115*VLOOKUP('Données projet'!$B$17,Paramètres!$A$1:$I$89,3,0)*0.475*44/12</f>
        <v>0</v>
      </c>
      <c r="GO115" s="23">
        <f t="shared" si="81"/>
        <v>0</v>
      </c>
      <c r="GP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65.781600181940732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1.1368683772161603E-13</v>
      </c>
      <c r="GV115" s="18">
        <f>GU115*VLOOKUP('Données projet'!$B$18,Paramètres!$A$1:$I$89,3,0)*VLOOKUP('Données projet'!$B$18,Paramètres!$A$1:$I$89,5,0)</f>
        <v>7.626113074366004E-14</v>
      </c>
      <c r="GW115" s="14">
        <f t="shared" si="105"/>
        <v>1.1823749172251317E-12</v>
      </c>
      <c r="GX115" s="22">
        <f t="shared" si="82"/>
        <v>2.1921244502123119E-12</v>
      </c>
      <c r="GY115" s="62">
        <f t="shared" si="83"/>
        <v>277.86586733378488</v>
      </c>
      <c r="GZ115" s="62">
        <f ca="1">AVERAGE(OFFSET($GY$3,0,0,'Données projet'!$E$18+1,1))-AVERAGE(OFFSET($H$3,0,0,'Données projet'!$E$18+1,1))</f>
        <v>254.35742752782755</v>
      </c>
      <c r="HA115" s="62">
        <f t="shared" si="106"/>
        <v>171.79611712137395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>
        <f>EXP(-LN(2)/35)*HG114+(1-EXP(-LN(2)/35))/(LN(2)/35)*HC115*HD115*VLOOKUP('Données projet'!$B$18,Paramètres!$A$1:$I$89,3,0)*0.475*44/12</f>
        <v>0</v>
      </c>
      <c r="HH115" s="23">
        <f>EXP(-LN(2)/25)*HH114+(1-EXP(-LN(2)/25))/(LN(2)/25)*Calculateur!HC115*Calculateur!HE115*VLOOKUP('Données projet'!$B$18,Paramètres!$A$1:$I$89,3,0)*0.475*44/12</f>
        <v>0</v>
      </c>
      <c r="HI115" s="23">
        <f>EXP(-LN(2)/2)*HI114+(1-EXP(-LN(2)/2))/(LN(2)/2)*HC115*HF115*VLOOKUP('Données projet'!$B$18,Paramètres!$A$1:$I$89,3,0)*0.475*44/12</f>
        <v>0</v>
      </c>
      <c r="HJ115" s="24">
        <f t="shared" si="84"/>
        <v>0</v>
      </c>
    </row>
    <row r="116" spans="1:218" s="5" customFormat="1" x14ac:dyDescent="0.3">
      <c r="A116" s="11">
        <f t="shared" si="85"/>
        <v>113</v>
      </c>
      <c r="B116" s="76">
        <f>'Scénario référence'!$B$16*5+'Scénario référence'!$B$17*0+'Scénario référence'!$B$18*5</f>
        <v>3.9405000000000001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14.448500000000001</v>
      </c>
      <c r="H116" s="69">
        <f t="shared" si="56"/>
        <v>161.30656666666667</v>
      </c>
      <c r="I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65.854779987854911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210.54472399593521</v>
      </c>
      <c r="T116" s="62">
        <f t="shared" si="88"/>
        <v>181.14158435194193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65.854779987854911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289.05608923588198</v>
      </c>
      <c r="AO116" s="62">
        <f t="shared" si="90"/>
        <v>220.06639020312738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65.854779987854911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1.3150000000000006</v>
      </c>
      <c r="BD116" s="13">
        <f>IF('Données projet'!$A$88&gt;35,BD115+BC116-BL115,IF(A116&lt;'Données projet'!$A$88,$BA$205^A116,IF(A116='Données projet'!$A$88,'Données projet'!$B$88,BD115+BC116-BL115)))</f>
        <v>111.43666666666664</v>
      </c>
      <c r="BE116" s="14">
        <f>BD116*VLOOKUP('Données projet'!$B$11,Paramètres!$A$1:$I$89,3,0)*VLOOKUP('Données projet'!$B$11,Paramètres!$A$1:$I$89,5,0)</f>
        <v>128.37503999999996</v>
      </c>
      <c r="BF116" s="14">
        <f t="shared" si="91"/>
        <v>33.6206043519106</v>
      </c>
      <c r="BG116" s="22">
        <f t="shared" si="61"/>
        <v>282.14241391291085</v>
      </c>
      <c r="BH116" s="62">
        <f t="shared" si="62"/>
        <v>560.27660720171218</v>
      </c>
      <c r="BI116" s="62">
        <f ca="1">AVERAGE(OFFSET($BH$3,0,0,'Données projet'!$E$11+1,1))-AVERAGE(OFFSET($H$3,0,0,'Données projet'!$E$11+1,1))</f>
        <v>299.54950406029354</v>
      </c>
      <c r="BJ116" s="62">
        <f t="shared" si="92"/>
        <v>208.26364698165739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65.854779987854911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2.4358974358974348</v>
      </c>
      <c r="BY116" s="13">
        <f>IF('Données projet'!$A$114&gt;35,BY115+BX116-CG115,IF(A116&lt;'Données projet'!$A$114,$BV$205^A116,IF(A116='Données projet'!$A$114,'Données projet'!$B$114,BY115+BX116-CG115)))</f>
        <v>249.61538461538458</v>
      </c>
      <c r="BZ116" s="14">
        <f>BY116*VLOOKUP('Données projet'!$B$12,Paramètres!$A$1:$I$89,3,0)*VLOOKUP('Données projet'!$B$12,Paramètres!$A$1:$I$89,5,0)</f>
        <v>268.68599999999998</v>
      </c>
      <c r="CA116" s="14">
        <f t="shared" si="93"/>
        <v>64.570326195859209</v>
      </c>
      <c r="CB116" s="22">
        <f t="shared" si="64"/>
        <v>580.42143479112144</v>
      </c>
      <c r="CC116" s="62">
        <f t="shared" si="65"/>
        <v>858.55562807992283</v>
      </c>
      <c r="CD116" s="62">
        <f ca="1">AVERAGE(OFFSET($CC$3,0,0,'Données projet'!$E$12+1,1))-AVERAGE(OFFSET($H$3,0,0,'Données projet'!$E$12+1,1))</f>
        <v>441.30518831297212</v>
      </c>
      <c r="CE116" s="62">
        <f t="shared" si="94"/>
        <v>270.42872405271851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65.854779987854911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-1.1368683772161603E-13</v>
      </c>
      <c r="CU116" s="18">
        <f>CT116*VLOOKUP('Données projet'!$B$13,Paramètres!$A$1:$I$89,3,0)*VLOOKUP('Données projet'!$B$13,Paramètres!$A$1:$I$89,5,0)</f>
        <v>-9.9316821433603781E-14</v>
      </c>
      <c r="CV116" s="14" t="e">
        <f t="shared" si="95"/>
        <v>#NUM!</v>
      </c>
      <c r="CW116" s="22" t="e">
        <f t="shared" si="67"/>
        <v>#NUM!</v>
      </c>
      <c r="CX116" s="62" t="e">
        <f t="shared" si="68"/>
        <v>#NUM!</v>
      </c>
      <c r="CY116" s="62">
        <f ca="1">AVERAGE(OFFSET($CX$3,0,0,'Données projet'!$E$13+1,1))-AVERAGE(OFFSET($H$3,0,0,'Données projet'!$E$13+1,1))</f>
        <v>310.81258463659196</v>
      </c>
      <c r="CZ116" s="62">
        <f t="shared" si="96"/>
        <v>287.31099756692083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65.854779987854911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2.4358974358974348</v>
      </c>
      <c r="DO116" s="13">
        <f>IF('Données projet'!$A$166&gt;35,DO115+DN116-DW115,IF(A116&lt;'Données projet'!$A$166,$DL$205^A116,IF(A116='Données projet'!$A$166,'Données projet'!$B$166,DO115+DN116-DW115)))</f>
        <v>249.61538461538458</v>
      </c>
      <c r="DP116" s="18">
        <f>DO116*VLOOKUP('Données projet'!$B$14,Paramètres!$A$1:$I$89,3,0)*VLOOKUP('Données projet'!$B$14,Paramètres!$A$1:$I$89,5,0)</f>
        <v>260.89800000000002</v>
      </c>
      <c r="DQ116" s="14">
        <f t="shared" si="97"/>
        <v>62.913756838995624</v>
      </c>
      <c r="DR116" s="22">
        <f t="shared" si="70"/>
        <v>563.97214316125064</v>
      </c>
      <c r="DS116" s="62">
        <f t="shared" si="71"/>
        <v>842.10633645005191</v>
      </c>
      <c r="DT116" s="62">
        <f ca="1">AVERAGE(OFFSET($DS$3,0,0,'Données projet'!$E$14+1,1))-AVERAGE(OFFSET($H$3,0,0,'Données projet'!$E$14+1,1))</f>
        <v>431.19274104373625</v>
      </c>
      <c r="DU116" s="62">
        <f t="shared" si="98"/>
        <v>264.67919175178133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65.854779987854911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-6.2527760746888816E-13</v>
      </c>
      <c r="EK116" s="18">
        <f>EJ116*VLOOKUP('Données projet'!$B$15,Paramètres!$A$1:$I$89,3,0)*VLOOKUP('Données projet'!$B$15,Paramètres!$A$1:$I$89,5,0)</f>
        <v>-2.9262992029543964E-13</v>
      </c>
      <c r="EL116" s="14" t="e">
        <f t="shared" si="99"/>
        <v>#NUM!</v>
      </c>
      <c r="EM116" s="22" t="e">
        <f t="shared" si="73"/>
        <v>#NUM!</v>
      </c>
      <c r="EN116" s="62" t="e">
        <f t="shared" si="74"/>
        <v>#NUM!</v>
      </c>
      <c r="EO116" s="62">
        <f ca="1">AVERAGE(OFFSET($EN$3,0,0,'Données projet'!$E$15+1,1))-AVERAGE(OFFSET($H$3,0,0,'Données projet'!$E$15+1,1))</f>
        <v>291.68530745507815</v>
      </c>
      <c r="EP116" s="62">
        <f t="shared" si="100"/>
        <v>175.95121106728979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0</v>
      </c>
      <c r="EZ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65.854779987854911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-1.1368683772161603E-13</v>
      </c>
      <c r="FF116" s="18">
        <f>FE116*VLOOKUP('Données projet'!$B$16,Paramètres!$A$1:$I$89,3,0)*VLOOKUP('Données projet'!$B$16,Paramètres!$A$1:$I$89,5,0)</f>
        <v>-7.4487616075202823E-14</v>
      </c>
      <c r="FG116" s="14" t="e">
        <f t="shared" si="101"/>
        <v>#NUM!</v>
      </c>
      <c r="FH116" s="22" t="e">
        <f t="shared" si="76"/>
        <v>#NUM!</v>
      </c>
      <c r="FI116" s="62" t="e">
        <f t="shared" si="77"/>
        <v>#NUM!</v>
      </c>
      <c r="FJ116" s="62">
        <f ca="1">AVERAGE(OFFSET($FI$3,0,0,'Données projet'!$E$16+1,1))-AVERAGE(OFFSET($H$3,0,0,'Données projet'!$E$16+1,1))</f>
        <v>248.75689726928428</v>
      </c>
      <c r="FK116" s="62">
        <f t="shared" si="102"/>
        <v>232.02291680388336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projet'!$B$16,Paramètres!$A$1:$I$89,3,0)*0.475*44/12</f>
        <v>0</v>
      </c>
      <c r="FR116" s="23">
        <f>EXP(-LN(2)/25)*FR115+(1-EXP(-LN(2)/25))/(LN(2)/25)*Calculateur!FM116*Calculateur!FO116*VLOOKUP('Données projet'!$B$16,Paramètres!$A$1:$I$89,3,0)*0.475*44/12</f>
        <v>0</v>
      </c>
      <c r="FS116" s="23">
        <f>EXP(-LN(2)/2)*FS115+(1-EXP(-LN(2)/2))/(LN(2)/2)*FM116*FP116*VLOOKUP('Données projet'!$B$16,Paramètres!$A$1:$I$89,3,0)*0.475*44/12</f>
        <v>0</v>
      </c>
      <c r="FT116" s="24">
        <f t="shared" si="78"/>
        <v>0</v>
      </c>
      <c r="FU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65.854779987854911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5.1159076974727213E-13</v>
      </c>
      <c r="GA116" s="18">
        <f>FZ116*VLOOKUP('Données projet'!$B$17,Paramètres!$A$1:$I$89,3,0)*VLOOKUP('Données projet'!$B$17,Paramètres!$A$1:$I$89,5,0)</f>
        <v>3.0593128030886877E-13</v>
      </c>
      <c r="GB116" s="14">
        <f t="shared" si="103"/>
        <v>4.0350537939347394E-12</v>
      </c>
      <c r="GC116" s="22">
        <f t="shared" si="79"/>
        <v>7.5605490043076185E-12</v>
      </c>
      <c r="GD116" s="62">
        <f t="shared" si="80"/>
        <v>278.13419328880889</v>
      </c>
      <c r="GE116" s="62">
        <f ca="1">AVERAGE(OFFSET($GD$3,0,0,'Données projet'!$E$17+1,1))-AVERAGE(OFFSET($H$3,0,0,'Données projet'!$E$17+1,1))</f>
        <v>315.909549580511</v>
      </c>
      <c r="GF116" s="62">
        <f t="shared" si="104"/>
        <v>208.56856525402051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projet'!$B$17,Paramètres!$A$1:$I$89,3,0)*0.475*44/12</f>
        <v>0</v>
      </c>
      <c r="GM116" s="23">
        <f>EXP(-LN(2)/25)*GM115+(1-EXP(-LN(2)/25))/(LN(2)/25)*Calculateur!GH116*Calculateur!GJ116*VLOOKUP('Données projet'!$B$17,Paramètres!$A$1:$I$89,3,0)*0.475*44/12</f>
        <v>0</v>
      </c>
      <c r="GN116" s="23">
        <f>EXP(-LN(2)/2)*GN115+(1-EXP(-LN(2)/2))/(LN(2)/2)*GH116*GK116*VLOOKUP('Données projet'!$B$17,Paramètres!$A$1:$I$89,3,0)*0.475*44/12</f>
        <v>0</v>
      </c>
      <c r="GO116" s="23">
        <f t="shared" si="81"/>
        <v>0</v>
      </c>
      <c r="GP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65.854779987854911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1.1368683772161603E-13</v>
      </c>
      <c r="GV116" s="18">
        <f>GU116*VLOOKUP('Données projet'!$B$18,Paramètres!$A$1:$I$89,3,0)*VLOOKUP('Données projet'!$B$18,Paramètres!$A$1:$I$89,5,0)</f>
        <v>7.626113074366004E-14</v>
      </c>
      <c r="GW116" s="14">
        <f t="shared" si="105"/>
        <v>1.1823749172251317E-12</v>
      </c>
      <c r="GX116" s="22">
        <f t="shared" si="82"/>
        <v>2.1921244502123119E-12</v>
      </c>
      <c r="GY116" s="62">
        <f t="shared" si="83"/>
        <v>278.13419328880354</v>
      </c>
      <c r="GZ116" s="62">
        <f ca="1">AVERAGE(OFFSET($GY$3,0,0,'Données projet'!$E$18+1,1))-AVERAGE(OFFSET($H$3,0,0,'Données projet'!$E$18+1,1))</f>
        <v>254.35742752782755</v>
      </c>
      <c r="HA116" s="62">
        <f t="shared" si="106"/>
        <v>171.79611712137395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>
        <f>EXP(-LN(2)/35)*HG115+(1-EXP(-LN(2)/35))/(LN(2)/35)*HC116*HD116*VLOOKUP('Données projet'!$B$18,Paramètres!$A$1:$I$89,3,0)*0.475*44/12</f>
        <v>0</v>
      </c>
      <c r="HH116" s="23">
        <f>EXP(-LN(2)/25)*HH115+(1-EXP(-LN(2)/25))/(LN(2)/25)*Calculateur!HC116*Calculateur!HE116*VLOOKUP('Données projet'!$B$18,Paramètres!$A$1:$I$89,3,0)*0.475*44/12</f>
        <v>0</v>
      </c>
      <c r="HI116" s="23">
        <f>EXP(-LN(2)/2)*HI115+(1-EXP(-LN(2)/2))/(LN(2)/2)*HC116*HF116*VLOOKUP('Données projet'!$B$18,Paramètres!$A$1:$I$89,3,0)*0.475*44/12</f>
        <v>0</v>
      </c>
      <c r="HJ116" s="24">
        <f t="shared" si="84"/>
        <v>0</v>
      </c>
    </row>
    <row r="117" spans="1:218" s="5" customFormat="1" x14ac:dyDescent="0.3">
      <c r="A117" s="11">
        <f t="shared" si="85"/>
        <v>114</v>
      </c>
      <c r="B117" s="76">
        <f>'Scénario référence'!$B$16*5+'Scénario référence'!$B$17*0+'Scénario référence'!$B$18*5</f>
        <v>3.9405000000000001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14.448500000000001</v>
      </c>
      <c r="H117" s="69">
        <f t="shared" si="56"/>
        <v>161.30656666666667</v>
      </c>
      <c r="I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65.926690287742048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210.54472399593521</v>
      </c>
      <c r="T117" s="62">
        <f t="shared" si="88"/>
        <v>181.14158435194193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65.926690287742048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289.05608923588198</v>
      </c>
      <c r="AO117" s="62">
        <f t="shared" si="90"/>
        <v>220.06639020312738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65.926690287742048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1.3150000000000006</v>
      </c>
      <c r="BD117" s="13">
        <f>IF('Données projet'!$A$88&gt;35,BD116+BC117-BL116,IF(A117&lt;'Données projet'!$A$88,$BA$205^A117,IF(A117='Données projet'!$A$88,'Données projet'!$B$88,BD116+BC117-BL116)))</f>
        <v>112.75166666666664</v>
      </c>
      <c r="BE117" s="14">
        <f>BD117*VLOOKUP('Données projet'!$B$11,Paramètres!$A$1:$I$89,3,0)*VLOOKUP('Données projet'!$B$11,Paramètres!$A$1:$I$89,5,0)</f>
        <v>129.88991999999996</v>
      </c>
      <c r="BF117" s="14">
        <f t="shared" si="91"/>
        <v>33.970921822434136</v>
      </c>
      <c r="BG117" s="22">
        <f t="shared" si="61"/>
        <v>285.39096617407273</v>
      </c>
      <c r="BH117" s="62">
        <f t="shared" si="62"/>
        <v>563.78883056246025</v>
      </c>
      <c r="BI117" s="62">
        <f ca="1">AVERAGE(OFFSET($BH$3,0,0,'Données projet'!$E$11+1,1))-AVERAGE(OFFSET($H$3,0,0,'Données projet'!$E$11+1,1))</f>
        <v>299.54950406029354</v>
      </c>
      <c r="BJ117" s="62">
        <f t="shared" si="92"/>
        <v>208.26364698165739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65.926690287742048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2.4358974358974348</v>
      </c>
      <c r="BY117" s="13">
        <f>IF('Données projet'!$A$114&gt;35,BY116+BX117-CG116,IF(A117&lt;'Données projet'!$A$114,$BV$205^A117,IF(A117='Données projet'!$A$114,'Données projet'!$B$114,BY116+BX117-CG116)))</f>
        <v>252.05128205128202</v>
      </c>
      <c r="BZ117" s="14">
        <f>BY117*VLOOKUP('Données projet'!$B$12,Paramètres!$A$1:$I$89,3,0)*VLOOKUP('Données projet'!$B$12,Paramètres!$A$1:$I$89,5,0)</f>
        <v>271.30799999999994</v>
      </c>
      <c r="CA117" s="14">
        <f t="shared" si="93"/>
        <v>65.126781774531096</v>
      </c>
      <c r="CB117" s="22">
        <f t="shared" si="64"/>
        <v>585.95724492397483</v>
      </c>
      <c r="CC117" s="62">
        <f t="shared" si="65"/>
        <v>864.3551093123624</v>
      </c>
      <c r="CD117" s="62">
        <f ca="1">AVERAGE(OFFSET($CC$3,0,0,'Données projet'!$E$12+1,1))-AVERAGE(OFFSET($H$3,0,0,'Données projet'!$E$12+1,1))</f>
        <v>441.30518831297212</v>
      </c>
      <c r="CE117" s="62">
        <f t="shared" si="94"/>
        <v>270.42872405271851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65.926690287742048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-1.1368683772161603E-13</v>
      </c>
      <c r="CU117" s="18">
        <f>CT117*VLOOKUP('Données projet'!$B$13,Paramètres!$A$1:$I$89,3,0)*VLOOKUP('Données projet'!$B$13,Paramètres!$A$1:$I$89,5,0)</f>
        <v>-9.9316821433603781E-14</v>
      </c>
      <c r="CV117" s="14" t="e">
        <f t="shared" si="95"/>
        <v>#NUM!</v>
      </c>
      <c r="CW117" s="22" t="e">
        <f t="shared" si="67"/>
        <v>#NUM!</v>
      </c>
      <c r="CX117" s="62" t="e">
        <f t="shared" si="68"/>
        <v>#NUM!</v>
      </c>
      <c r="CY117" s="62">
        <f ca="1">AVERAGE(OFFSET($CX$3,0,0,'Données projet'!$E$13+1,1))-AVERAGE(OFFSET($H$3,0,0,'Données projet'!$E$13+1,1))</f>
        <v>310.81258463659196</v>
      </c>
      <c r="CZ117" s="62">
        <f t="shared" si="96"/>
        <v>287.31099756692083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65.926690287742048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2.4358974358974348</v>
      </c>
      <c r="DO117" s="13">
        <f>IF('Données projet'!$A$166&gt;35,DO116+DN117-DW116,IF(A117&lt;'Données projet'!$A$166,$DL$205^A117,IF(A117='Données projet'!$A$166,'Données projet'!$B$166,DO116+DN117-DW116)))</f>
        <v>252.05128205128202</v>
      </c>
      <c r="DP117" s="18">
        <f>DO117*VLOOKUP('Données projet'!$B$14,Paramètres!$A$1:$I$89,3,0)*VLOOKUP('Données projet'!$B$14,Paramètres!$A$1:$I$89,5,0)</f>
        <v>263.44399999999996</v>
      </c>
      <c r="DQ117" s="14">
        <f t="shared" si="97"/>
        <v>63.455936397792946</v>
      </c>
      <c r="DR117" s="22">
        <f t="shared" si="70"/>
        <v>569.35072255948921</v>
      </c>
      <c r="DS117" s="62">
        <f t="shared" si="71"/>
        <v>847.74858694787667</v>
      </c>
      <c r="DT117" s="62">
        <f ca="1">AVERAGE(OFFSET($DS$3,0,0,'Données projet'!$E$14+1,1))-AVERAGE(OFFSET($H$3,0,0,'Données projet'!$E$14+1,1))</f>
        <v>431.19274104373625</v>
      </c>
      <c r="DU117" s="62">
        <f t="shared" si="98"/>
        <v>264.67919175178133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65.926690287742048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-6.2527760746888816E-13</v>
      </c>
      <c r="EK117" s="18">
        <f>EJ117*VLOOKUP('Données projet'!$B$15,Paramètres!$A$1:$I$89,3,0)*VLOOKUP('Données projet'!$B$15,Paramètres!$A$1:$I$89,5,0)</f>
        <v>-2.9262992029543964E-13</v>
      </c>
      <c r="EL117" s="14" t="e">
        <f t="shared" si="99"/>
        <v>#NUM!</v>
      </c>
      <c r="EM117" s="22" t="e">
        <f t="shared" si="73"/>
        <v>#NUM!</v>
      </c>
      <c r="EN117" s="62" t="e">
        <f t="shared" si="74"/>
        <v>#NUM!</v>
      </c>
      <c r="EO117" s="62">
        <f ca="1">AVERAGE(OFFSET($EN$3,0,0,'Données projet'!$E$15+1,1))-AVERAGE(OFFSET($H$3,0,0,'Données projet'!$E$15+1,1))</f>
        <v>291.68530745507815</v>
      </c>
      <c r="EP117" s="62">
        <f t="shared" si="100"/>
        <v>175.95121106728979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0</v>
      </c>
      <c r="EZ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65.926690287742048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-1.1368683772161603E-13</v>
      </c>
      <c r="FF117" s="18">
        <f>FE117*VLOOKUP('Données projet'!$B$16,Paramètres!$A$1:$I$89,3,0)*VLOOKUP('Données projet'!$B$16,Paramètres!$A$1:$I$89,5,0)</f>
        <v>-7.4487616075202823E-14</v>
      </c>
      <c r="FG117" s="14" t="e">
        <f t="shared" si="101"/>
        <v>#NUM!</v>
      </c>
      <c r="FH117" s="22" t="e">
        <f t="shared" si="76"/>
        <v>#NUM!</v>
      </c>
      <c r="FI117" s="62" t="e">
        <f t="shared" si="77"/>
        <v>#NUM!</v>
      </c>
      <c r="FJ117" s="62">
        <f ca="1">AVERAGE(OFFSET($FI$3,0,0,'Données projet'!$E$16+1,1))-AVERAGE(OFFSET($H$3,0,0,'Données projet'!$E$16+1,1))</f>
        <v>248.75689726928428</v>
      </c>
      <c r="FK117" s="62">
        <f t="shared" si="102"/>
        <v>232.02291680388336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projet'!$B$16,Paramètres!$A$1:$I$89,3,0)*0.475*44/12</f>
        <v>0</v>
      </c>
      <c r="FR117" s="23">
        <f>EXP(-LN(2)/25)*FR116+(1-EXP(-LN(2)/25))/(LN(2)/25)*Calculateur!FM117*Calculateur!FO117*VLOOKUP('Données projet'!$B$16,Paramètres!$A$1:$I$89,3,0)*0.475*44/12</f>
        <v>0</v>
      </c>
      <c r="FS117" s="23">
        <f>EXP(-LN(2)/2)*FS116+(1-EXP(-LN(2)/2))/(LN(2)/2)*FM117*FP117*VLOOKUP('Données projet'!$B$16,Paramètres!$A$1:$I$89,3,0)*0.475*44/12</f>
        <v>0</v>
      </c>
      <c r="FT117" s="24">
        <f t="shared" si="78"/>
        <v>0</v>
      </c>
      <c r="FU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65.926690287742048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5.1159076974727213E-13</v>
      </c>
      <c r="GA117" s="18">
        <f>FZ117*VLOOKUP('Données projet'!$B$17,Paramètres!$A$1:$I$89,3,0)*VLOOKUP('Données projet'!$B$17,Paramètres!$A$1:$I$89,5,0)</f>
        <v>3.0593128030886877E-13</v>
      </c>
      <c r="GB117" s="14">
        <f t="shared" si="103"/>
        <v>4.0350537939347394E-12</v>
      </c>
      <c r="GC117" s="22">
        <f t="shared" si="79"/>
        <v>7.5605490043076185E-12</v>
      </c>
      <c r="GD117" s="62">
        <f t="shared" si="80"/>
        <v>278.39786438839508</v>
      </c>
      <c r="GE117" s="62">
        <f ca="1">AVERAGE(OFFSET($GD$3,0,0,'Données projet'!$E$17+1,1))-AVERAGE(OFFSET($H$3,0,0,'Données projet'!$E$17+1,1))</f>
        <v>315.909549580511</v>
      </c>
      <c r="GF117" s="62">
        <f t="shared" si="104"/>
        <v>208.56856525402051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projet'!$B$17,Paramètres!$A$1:$I$89,3,0)*0.475*44/12</f>
        <v>0</v>
      </c>
      <c r="GM117" s="23">
        <f>EXP(-LN(2)/25)*GM116+(1-EXP(-LN(2)/25))/(LN(2)/25)*Calculateur!GH117*Calculateur!GJ117*VLOOKUP('Données projet'!$B$17,Paramètres!$A$1:$I$89,3,0)*0.475*44/12</f>
        <v>0</v>
      </c>
      <c r="GN117" s="23">
        <f>EXP(-LN(2)/2)*GN116+(1-EXP(-LN(2)/2))/(LN(2)/2)*GH117*GK117*VLOOKUP('Données projet'!$B$17,Paramètres!$A$1:$I$89,3,0)*0.475*44/12</f>
        <v>0</v>
      </c>
      <c r="GO117" s="23">
        <f t="shared" si="81"/>
        <v>0</v>
      </c>
      <c r="GP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65.926690287742048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1.1368683772161603E-13</v>
      </c>
      <c r="GV117" s="18">
        <f>GU117*VLOOKUP('Données projet'!$B$18,Paramètres!$A$1:$I$89,3,0)*VLOOKUP('Données projet'!$B$18,Paramètres!$A$1:$I$89,5,0)</f>
        <v>7.626113074366004E-14</v>
      </c>
      <c r="GW117" s="14">
        <f t="shared" si="105"/>
        <v>1.1823749172251317E-12</v>
      </c>
      <c r="GX117" s="22">
        <f t="shared" si="82"/>
        <v>2.1921244502123119E-12</v>
      </c>
      <c r="GY117" s="62">
        <f t="shared" si="83"/>
        <v>278.39786438838973</v>
      </c>
      <c r="GZ117" s="62">
        <f ca="1">AVERAGE(OFFSET($GY$3,0,0,'Données projet'!$E$18+1,1))-AVERAGE(OFFSET($H$3,0,0,'Données projet'!$E$18+1,1))</f>
        <v>254.35742752782755</v>
      </c>
      <c r="HA117" s="62">
        <f t="shared" si="106"/>
        <v>171.79611712137395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>
        <f>EXP(-LN(2)/35)*HG116+(1-EXP(-LN(2)/35))/(LN(2)/35)*HC117*HD117*VLOOKUP('Données projet'!$B$18,Paramètres!$A$1:$I$89,3,0)*0.475*44/12</f>
        <v>0</v>
      </c>
      <c r="HH117" s="23">
        <f>EXP(-LN(2)/25)*HH116+(1-EXP(-LN(2)/25))/(LN(2)/25)*Calculateur!HC117*Calculateur!HE117*VLOOKUP('Données projet'!$B$18,Paramètres!$A$1:$I$89,3,0)*0.475*44/12</f>
        <v>0</v>
      </c>
      <c r="HI117" s="23">
        <f>EXP(-LN(2)/2)*HI116+(1-EXP(-LN(2)/2))/(LN(2)/2)*HC117*HF117*VLOOKUP('Données projet'!$B$18,Paramètres!$A$1:$I$89,3,0)*0.475*44/12</f>
        <v>0</v>
      </c>
      <c r="HJ117" s="24">
        <f t="shared" si="84"/>
        <v>0</v>
      </c>
    </row>
    <row r="118" spans="1:218" s="5" customFormat="1" x14ac:dyDescent="0.3">
      <c r="A118" s="11">
        <f t="shared" si="85"/>
        <v>115</v>
      </c>
      <c r="B118" s="76">
        <f>'Scénario référence'!$B$16*5+'Scénario référence'!$B$17*0+'Scénario référence'!$B$18*5</f>
        <v>3.9405000000000001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14.448500000000001</v>
      </c>
      <c r="H118" s="69">
        <f t="shared" si="56"/>
        <v>161.30656666666667</v>
      </c>
      <c r="I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65.99735310469346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210.54472399593521</v>
      </c>
      <c r="T118" s="62">
        <f t="shared" si="88"/>
        <v>181.14158435194193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65.99735310469346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289.05608923588198</v>
      </c>
      <c r="AO118" s="62">
        <f t="shared" si="90"/>
        <v>220.06639020312738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65.99735310469346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1.3150000000000006</v>
      </c>
      <c r="BD118" s="13">
        <f>IF('Données projet'!$A$88&gt;35,BD117+BC118-BL117,IF(A118&lt;'Données projet'!$A$88,$BA$205^A118,IF(A118='Données projet'!$A$88,'Données projet'!$B$88,BD117+BC118-BL117)))</f>
        <v>114.06666666666663</v>
      </c>
      <c r="BE118" s="14">
        <f>BD118*VLOOKUP('Données projet'!$B$11,Paramètres!$A$1:$I$89,3,0)*VLOOKUP('Données projet'!$B$11,Paramètres!$A$1:$I$89,5,0)</f>
        <v>131.40479999999994</v>
      </c>
      <c r="BF118" s="14">
        <f t="shared" si="91"/>
        <v>34.320764030820762</v>
      </c>
      <c r="BG118" s="22">
        <f t="shared" si="61"/>
        <v>288.63869068701268</v>
      </c>
      <c r="BH118" s="62">
        <f t="shared" si="62"/>
        <v>567.29565207088876</v>
      </c>
      <c r="BI118" s="62">
        <f ca="1">AVERAGE(OFFSET($BH$3,0,0,'Données projet'!$E$11+1,1))-AVERAGE(OFFSET($H$3,0,0,'Données projet'!$E$11+1,1))</f>
        <v>299.54950406029354</v>
      </c>
      <c r="BJ118" s="62">
        <f t="shared" si="92"/>
        <v>208.26364698165739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65.99735310469346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>
        <f>VLOOKUP(A118,'Données projet'!$A$113:$I$133,2,0)</f>
        <v>254.48717948717947</v>
      </c>
      <c r="BW118" s="13">
        <f>VLOOKUP(A118,'Données projet'!$A$113:$I$133,9,0)</f>
        <v>2.4358974358974348</v>
      </c>
      <c r="BX118" s="13">
        <f t="array" ref="BX118">INDEX(BW:BW,MIN(IF(ISNUMBER(BW118:BW314),ROW(BW118:BW314),"")))</f>
        <v>2.4358974358974348</v>
      </c>
      <c r="BY118" s="13">
        <f>IF('Données projet'!$A$114&gt;35,BY117+BX118-CG117,IF(A118&lt;'Données projet'!$A$114,$BV$205^A118,IF(A118='Données projet'!$A$114,'Données projet'!$B$114,BY117+BX118-CG117)))</f>
        <v>254.48717948717945</v>
      </c>
      <c r="BZ118" s="14">
        <f>BY118*VLOOKUP('Données projet'!$B$12,Paramètres!$A$1:$I$89,3,0)*VLOOKUP('Données projet'!$B$12,Paramètres!$A$1:$I$89,5,0)</f>
        <v>273.92999999999995</v>
      </c>
      <c r="CA118" s="14">
        <f t="shared" si="93"/>
        <v>65.682611724785247</v>
      </c>
      <c r="CB118" s="22">
        <f t="shared" si="64"/>
        <v>591.4919654206675</v>
      </c>
      <c r="CC118" s="62">
        <f t="shared" si="65"/>
        <v>870.14892680454352</v>
      </c>
      <c r="CD118" s="62">
        <f ca="1">AVERAGE(OFFSET($CC$3,0,0,'Données projet'!$E$12+1,1))-AVERAGE(OFFSET($H$3,0,0,'Données projet'!$E$12+1,1))</f>
        <v>441.30518831297212</v>
      </c>
      <c r="CE118" s="62">
        <f t="shared" si="94"/>
        <v>270.42872405271851</v>
      </c>
      <c r="CF118" s="16">
        <f>IF(ISNA(VLOOKUP(A118,'Données projet'!$A$113:$I$133,3,0)),0,VLOOKUP(A118,'Données projet'!$A$113:$I$133,3,0))</f>
        <v>9</v>
      </c>
      <c r="CG118" s="16">
        <f>IF(ISNA(VLOOKUP(A118,'Données projet'!$A$113:$I$133,4,0)),0,VLOOKUP(A118,'Données projet'!$A$113:$I$133,4,0))</f>
        <v>21.153846153846153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65.99735310469346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-1.1368683772161603E-13</v>
      </c>
      <c r="CU118" s="18">
        <f>CT118*VLOOKUP('Données projet'!$B$13,Paramètres!$A$1:$I$89,3,0)*VLOOKUP('Données projet'!$B$13,Paramètres!$A$1:$I$89,5,0)</f>
        <v>-9.9316821433603781E-14</v>
      </c>
      <c r="CV118" s="14" t="e">
        <f t="shared" si="95"/>
        <v>#NUM!</v>
      </c>
      <c r="CW118" s="22" t="e">
        <f t="shared" si="67"/>
        <v>#NUM!</v>
      </c>
      <c r="CX118" s="62" t="e">
        <f t="shared" si="68"/>
        <v>#NUM!</v>
      </c>
      <c r="CY118" s="62">
        <f ca="1">AVERAGE(OFFSET($CX$3,0,0,'Données projet'!$E$13+1,1))-AVERAGE(OFFSET($H$3,0,0,'Données projet'!$E$13+1,1))</f>
        <v>310.81258463659196</v>
      </c>
      <c r="CZ118" s="62">
        <f t="shared" si="96"/>
        <v>287.31099756692083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65.99735310469346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>
        <f>VLOOKUP(A118,'Données projet'!$A$165:$I$185,2,0)</f>
        <v>254.48717948717947</v>
      </c>
      <c r="DM118" s="13">
        <f>VLOOKUP(A118,'Données projet'!$A$165:$I$185,9,0)</f>
        <v>2.4358974358974348</v>
      </c>
      <c r="DN118" s="13">
        <f t="array" ref="DN118">INDEX(DM:DM,MIN(IF(ISNUMBER(DM118:DM314),ROW(DM118:DM314),"")))</f>
        <v>2.4358974358974348</v>
      </c>
      <c r="DO118" s="13">
        <f>IF('Données projet'!$A$166&gt;35,DO117+DN118-DW117,IF(A118&lt;'Données projet'!$A$166,$DL$205^A118,IF(A118='Données projet'!$A$166,'Données projet'!$B$166,DO117+DN118-DW117)))</f>
        <v>254.48717948717945</v>
      </c>
      <c r="DP118" s="18">
        <f>DO118*VLOOKUP('Données projet'!$B$14,Paramètres!$A$1:$I$89,3,0)*VLOOKUP('Données projet'!$B$14,Paramètres!$A$1:$I$89,5,0)</f>
        <v>265.99</v>
      </c>
      <c r="DQ118" s="14">
        <f t="shared" si="97"/>
        <v>63.997506378840363</v>
      </c>
      <c r="DR118" s="22">
        <f t="shared" si="70"/>
        <v>574.72824027648028</v>
      </c>
      <c r="DS118" s="62">
        <f t="shared" si="71"/>
        <v>853.3852016603563</v>
      </c>
      <c r="DT118" s="62">
        <f ca="1">AVERAGE(OFFSET($DS$3,0,0,'Données projet'!$E$14+1,1))-AVERAGE(OFFSET($H$3,0,0,'Données projet'!$E$14+1,1))</f>
        <v>431.19274104373625</v>
      </c>
      <c r="DU118" s="62">
        <f t="shared" si="98"/>
        <v>264.67919175178133</v>
      </c>
      <c r="DV118" s="16">
        <f>IF(ISNA(VLOOKUP(A118,'Données projet'!$A$165:$I$185,3,0)),0,VLOOKUP(A118,'Données projet'!$A$165:$I$185,3,0))</f>
        <v>9</v>
      </c>
      <c r="DW118" s="16">
        <f>IF(ISNA(VLOOKUP(A118,'Données projet'!$A$165:$I$185,4,0)),0,VLOOKUP(A118,'Données projet'!$A$165:$I$185,4,0))</f>
        <v>21.153846153846153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65.99735310469346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-6.2527760746888816E-13</v>
      </c>
      <c r="EK118" s="18">
        <f>EJ118*VLOOKUP('Données projet'!$B$15,Paramètres!$A$1:$I$89,3,0)*VLOOKUP('Données projet'!$B$15,Paramètres!$A$1:$I$89,5,0)</f>
        <v>-2.9262992029543964E-13</v>
      </c>
      <c r="EL118" s="14" t="e">
        <f t="shared" si="99"/>
        <v>#NUM!</v>
      </c>
      <c r="EM118" s="22" t="e">
        <f t="shared" si="73"/>
        <v>#NUM!</v>
      </c>
      <c r="EN118" s="62" t="e">
        <f t="shared" si="74"/>
        <v>#NUM!</v>
      </c>
      <c r="EO118" s="62">
        <f ca="1">AVERAGE(OFFSET($EN$3,0,0,'Données projet'!$E$15+1,1))-AVERAGE(OFFSET($H$3,0,0,'Données projet'!$E$15+1,1))</f>
        <v>291.68530745507815</v>
      </c>
      <c r="EP118" s="62">
        <f t="shared" si="100"/>
        <v>175.95121106728979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0</v>
      </c>
      <c r="EZ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65.99735310469346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-1.1368683772161603E-13</v>
      </c>
      <c r="FF118" s="18">
        <f>FE118*VLOOKUP('Données projet'!$B$16,Paramètres!$A$1:$I$89,3,0)*VLOOKUP('Données projet'!$B$16,Paramètres!$A$1:$I$89,5,0)</f>
        <v>-7.4487616075202823E-14</v>
      </c>
      <c r="FG118" s="14" t="e">
        <f t="shared" si="101"/>
        <v>#NUM!</v>
      </c>
      <c r="FH118" s="22" t="e">
        <f t="shared" si="76"/>
        <v>#NUM!</v>
      </c>
      <c r="FI118" s="62" t="e">
        <f t="shared" si="77"/>
        <v>#NUM!</v>
      </c>
      <c r="FJ118" s="62">
        <f ca="1">AVERAGE(OFFSET($FI$3,0,0,'Données projet'!$E$16+1,1))-AVERAGE(OFFSET($H$3,0,0,'Données projet'!$E$16+1,1))</f>
        <v>248.75689726928428</v>
      </c>
      <c r="FK118" s="62">
        <f t="shared" si="102"/>
        <v>232.02291680388336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projet'!$B$16,Paramètres!$A$1:$I$89,3,0)*0.475*44/12</f>
        <v>0</v>
      </c>
      <c r="FR118" s="23">
        <f>EXP(-LN(2)/25)*FR117+(1-EXP(-LN(2)/25))/(LN(2)/25)*Calculateur!FM118*Calculateur!FO118*VLOOKUP('Données projet'!$B$16,Paramètres!$A$1:$I$89,3,0)*0.475*44/12</f>
        <v>0</v>
      </c>
      <c r="FS118" s="23">
        <f>EXP(-LN(2)/2)*FS117+(1-EXP(-LN(2)/2))/(LN(2)/2)*FM118*FP118*VLOOKUP('Données projet'!$B$16,Paramètres!$A$1:$I$89,3,0)*0.475*44/12</f>
        <v>0</v>
      </c>
      <c r="FT118" s="24">
        <f t="shared" si="78"/>
        <v>0</v>
      </c>
      <c r="FU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65.99735310469346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5.1159076974727213E-13</v>
      </c>
      <c r="GA118" s="18">
        <f>FZ118*VLOOKUP('Données projet'!$B$17,Paramètres!$A$1:$I$89,3,0)*VLOOKUP('Données projet'!$B$17,Paramètres!$A$1:$I$89,5,0)</f>
        <v>3.0593128030886877E-13</v>
      </c>
      <c r="GB118" s="14">
        <f t="shared" si="103"/>
        <v>4.0350537939347394E-12</v>
      </c>
      <c r="GC118" s="22">
        <f t="shared" si="79"/>
        <v>7.5605490043076185E-12</v>
      </c>
      <c r="GD118" s="62">
        <f t="shared" si="80"/>
        <v>278.65696138388358</v>
      </c>
      <c r="GE118" s="62">
        <f ca="1">AVERAGE(OFFSET($GD$3,0,0,'Données projet'!$E$17+1,1))-AVERAGE(OFFSET($H$3,0,0,'Données projet'!$E$17+1,1))</f>
        <v>315.909549580511</v>
      </c>
      <c r="GF118" s="62">
        <f t="shared" si="104"/>
        <v>208.56856525402051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projet'!$B$17,Paramètres!$A$1:$I$89,3,0)*0.475*44/12</f>
        <v>0</v>
      </c>
      <c r="GM118" s="23">
        <f>EXP(-LN(2)/25)*GM117+(1-EXP(-LN(2)/25))/(LN(2)/25)*Calculateur!GH118*Calculateur!GJ118*VLOOKUP('Données projet'!$B$17,Paramètres!$A$1:$I$89,3,0)*0.475*44/12</f>
        <v>0</v>
      </c>
      <c r="GN118" s="23">
        <f>EXP(-LN(2)/2)*GN117+(1-EXP(-LN(2)/2))/(LN(2)/2)*GH118*GK118*VLOOKUP('Données projet'!$B$17,Paramètres!$A$1:$I$89,3,0)*0.475*44/12</f>
        <v>0</v>
      </c>
      <c r="GO118" s="23">
        <f t="shared" si="81"/>
        <v>0</v>
      </c>
      <c r="GP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65.99735310469346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1.1368683772161603E-13</v>
      </c>
      <c r="GV118" s="18">
        <f>GU118*VLOOKUP('Données projet'!$B$18,Paramètres!$A$1:$I$89,3,0)*VLOOKUP('Données projet'!$B$18,Paramètres!$A$1:$I$89,5,0)</f>
        <v>7.626113074366004E-14</v>
      </c>
      <c r="GW118" s="14">
        <f t="shared" si="105"/>
        <v>1.1823749172251317E-12</v>
      </c>
      <c r="GX118" s="22">
        <f t="shared" si="82"/>
        <v>2.1921244502123119E-12</v>
      </c>
      <c r="GY118" s="62">
        <f t="shared" si="83"/>
        <v>278.65696138387824</v>
      </c>
      <c r="GZ118" s="62">
        <f ca="1">AVERAGE(OFFSET($GY$3,0,0,'Données projet'!$E$18+1,1))-AVERAGE(OFFSET($H$3,0,0,'Données projet'!$E$18+1,1))</f>
        <v>254.35742752782755</v>
      </c>
      <c r="HA118" s="62">
        <f t="shared" si="106"/>
        <v>171.79611712137395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>
        <f>EXP(-LN(2)/35)*HG117+(1-EXP(-LN(2)/35))/(LN(2)/35)*HC118*HD118*VLOOKUP('Données projet'!$B$18,Paramètres!$A$1:$I$89,3,0)*0.475*44/12</f>
        <v>0</v>
      </c>
      <c r="HH118" s="23">
        <f>EXP(-LN(2)/25)*HH117+(1-EXP(-LN(2)/25))/(LN(2)/25)*Calculateur!HC118*Calculateur!HE118*VLOOKUP('Données projet'!$B$18,Paramètres!$A$1:$I$89,3,0)*0.475*44/12</f>
        <v>0</v>
      </c>
      <c r="HI118" s="23">
        <f>EXP(-LN(2)/2)*HI117+(1-EXP(-LN(2)/2))/(LN(2)/2)*HC118*HF118*VLOOKUP('Données projet'!$B$18,Paramètres!$A$1:$I$89,3,0)*0.475*44/12</f>
        <v>0</v>
      </c>
      <c r="HJ118" s="24">
        <f t="shared" si="84"/>
        <v>0</v>
      </c>
    </row>
    <row r="119" spans="1:218" s="5" customFormat="1" x14ac:dyDescent="0.3">
      <c r="A119" s="11">
        <f t="shared" si="85"/>
        <v>116</v>
      </c>
      <c r="B119" s="76">
        <f>'Scénario référence'!$B$16*5+'Scénario référence'!$B$17*0+'Scénario référence'!$B$18*5</f>
        <v>3.9405000000000001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14.448500000000001</v>
      </c>
      <c r="H119" s="69">
        <f t="shared" si="56"/>
        <v>161.30656666666667</v>
      </c>
      <c r="I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66.066790079749168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210.54472399593521</v>
      </c>
      <c r="T119" s="62">
        <f t="shared" si="88"/>
        <v>181.14158435194193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66.066790079749168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289.05608923588198</v>
      </c>
      <c r="AO119" s="62">
        <f t="shared" si="90"/>
        <v>220.06639020312738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66.066790079749168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1.3150000000000006</v>
      </c>
      <c r="BD119" s="13">
        <f>IF('Données projet'!$A$88&gt;35,BD118+BC119-BL118,IF(A119&lt;'Données projet'!$A$88,$BA$205^A119,IF(A119='Données projet'!$A$88,'Données projet'!$B$88,BD118+BC119-BL118)))</f>
        <v>115.38166666666663</v>
      </c>
      <c r="BE119" s="14">
        <f>BD119*VLOOKUP('Données projet'!$B$11,Paramètres!$A$1:$I$89,3,0)*VLOOKUP('Données projet'!$B$11,Paramètres!$A$1:$I$89,5,0)</f>
        <v>132.91967999999994</v>
      </c>
      <c r="BF119" s="14">
        <f t="shared" si="91"/>
        <v>34.670137089980948</v>
      </c>
      <c r="BG119" s="22">
        <f t="shared" si="61"/>
        <v>291.88559809838341</v>
      </c>
      <c r="BH119" s="62">
        <f t="shared" si="62"/>
        <v>570.79716172413032</v>
      </c>
      <c r="BI119" s="62">
        <f ca="1">AVERAGE(OFFSET($BH$3,0,0,'Données projet'!$E$11+1,1))-AVERAGE(OFFSET($H$3,0,0,'Données projet'!$E$11+1,1))</f>
        <v>299.54950406029354</v>
      </c>
      <c r="BJ119" s="62">
        <f t="shared" si="92"/>
        <v>208.26364698165739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66.066790079749168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2.1367521367521363</v>
      </c>
      <c r="BY119" s="13">
        <f>IF('Données projet'!$A$114&gt;35,BY118+BX119-CG118,IF(A119&lt;'Données projet'!$A$114,$BV$205^A119,IF(A119='Données projet'!$A$114,'Données projet'!$B$114,BY118+BX119-CG118)))</f>
        <v>235.47008547008542</v>
      </c>
      <c r="BZ119" s="14">
        <f>BY119*VLOOKUP('Données projet'!$B$12,Paramètres!$A$1:$I$89,3,0)*VLOOKUP('Données projet'!$B$12,Paramètres!$A$1:$I$89,5,0)</f>
        <v>253.45999999999992</v>
      </c>
      <c r="CA119" s="14">
        <f t="shared" si="93"/>
        <v>61.326254036809374</v>
      </c>
      <c r="CB119" s="22">
        <f t="shared" si="64"/>
        <v>548.25272578077613</v>
      </c>
      <c r="CC119" s="62">
        <f t="shared" si="65"/>
        <v>827.16428940652304</v>
      </c>
      <c r="CD119" s="62">
        <f ca="1">AVERAGE(OFFSET($CC$3,0,0,'Données projet'!$E$12+1,1))-AVERAGE(OFFSET($H$3,0,0,'Données projet'!$E$12+1,1))</f>
        <v>441.30518831297212</v>
      </c>
      <c r="CE119" s="62">
        <f t="shared" si="94"/>
        <v>270.42872405271851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66.066790079749168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-1.1368683772161603E-13</v>
      </c>
      <c r="CU119" s="18">
        <f>CT119*VLOOKUP('Données projet'!$B$13,Paramètres!$A$1:$I$89,3,0)*VLOOKUP('Données projet'!$B$13,Paramètres!$A$1:$I$89,5,0)</f>
        <v>-9.9316821433603781E-14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310.81258463659196</v>
      </c>
      <c r="CZ119" s="62">
        <f t="shared" si="96"/>
        <v>287.31099756692083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66.066790079749168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2.1367521367521363</v>
      </c>
      <c r="DO119" s="13">
        <f>IF('Données projet'!$A$166&gt;35,DO118+DN119-DW118,IF(A119&lt;'Données projet'!$A$166,$DL$205^A119,IF(A119='Données projet'!$A$166,'Données projet'!$B$166,DO118+DN119-DW118)))</f>
        <v>235.47008547008542</v>
      </c>
      <c r="DP119" s="18">
        <f>DO119*VLOOKUP('Données projet'!$B$14,Paramètres!$A$1:$I$89,3,0)*VLOOKUP('Données projet'!$B$14,Paramètres!$A$1:$I$89,5,0)</f>
        <v>246.11333333333332</v>
      </c>
      <c r="DQ119" s="14">
        <f t="shared" si="97"/>
        <v>59.752912237350962</v>
      </c>
      <c r="DR119" s="22">
        <f t="shared" si="70"/>
        <v>532.71704436894174</v>
      </c>
      <c r="DS119" s="62">
        <f t="shared" si="71"/>
        <v>811.62860799468876</v>
      </c>
      <c r="DT119" s="62">
        <f ca="1">AVERAGE(OFFSET($DS$3,0,0,'Données projet'!$E$14+1,1))-AVERAGE(OFFSET($H$3,0,0,'Données projet'!$E$14+1,1))</f>
        <v>431.19274104373625</v>
      </c>
      <c r="DU119" s="62">
        <f t="shared" si="98"/>
        <v>264.67919175178133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66.066790079749168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-6.2527760746888816E-13</v>
      </c>
      <c r="EK119" s="18">
        <f>EJ119*VLOOKUP('Données projet'!$B$15,Paramètres!$A$1:$I$89,3,0)*VLOOKUP('Données projet'!$B$15,Paramètres!$A$1:$I$89,5,0)</f>
        <v>-2.9262992029543964E-13</v>
      </c>
      <c r="EL119" s="14" t="e">
        <f t="shared" si="99"/>
        <v>#NUM!</v>
      </c>
      <c r="EM119" s="22" t="e">
        <f t="shared" si="73"/>
        <v>#NUM!</v>
      </c>
      <c r="EN119" s="62" t="e">
        <f t="shared" si="74"/>
        <v>#NUM!</v>
      </c>
      <c r="EO119" s="62">
        <f ca="1">AVERAGE(OFFSET($EN$3,0,0,'Données projet'!$E$15+1,1))-AVERAGE(OFFSET($H$3,0,0,'Données projet'!$E$15+1,1))</f>
        <v>291.68530745507815</v>
      </c>
      <c r="EP119" s="62">
        <f t="shared" si="100"/>
        <v>175.95121106728979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0</v>
      </c>
      <c r="EZ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66.066790079749168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-1.1368683772161603E-13</v>
      </c>
      <c r="FF119" s="18">
        <f>FE119*VLOOKUP('Données projet'!$B$16,Paramètres!$A$1:$I$89,3,0)*VLOOKUP('Données projet'!$B$16,Paramètres!$A$1:$I$89,5,0)</f>
        <v>-7.4487616075202823E-14</v>
      </c>
      <c r="FG119" s="14" t="e">
        <f t="shared" si="101"/>
        <v>#NUM!</v>
      </c>
      <c r="FH119" s="22" t="e">
        <f t="shared" si="76"/>
        <v>#NUM!</v>
      </c>
      <c r="FI119" s="62" t="e">
        <f t="shared" si="77"/>
        <v>#NUM!</v>
      </c>
      <c r="FJ119" s="62">
        <f ca="1">AVERAGE(OFFSET($FI$3,0,0,'Données projet'!$E$16+1,1))-AVERAGE(OFFSET($H$3,0,0,'Données projet'!$E$16+1,1))</f>
        <v>248.75689726928428</v>
      </c>
      <c r="FK119" s="62">
        <f t="shared" si="102"/>
        <v>232.02291680388336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projet'!$B$16,Paramètres!$A$1:$I$89,3,0)*0.475*44/12</f>
        <v>0</v>
      </c>
      <c r="FR119" s="23">
        <f>EXP(-LN(2)/25)*FR118+(1-EXP(-LN(2)/25))/(LN(2)/25)*Calculateur!FM119*Calculateur!FO119*VLOOKUP('Données projet'!$B$16,Paramètres!$A$1:$I$89,3,0)*0.475*44/12</f>
        <v>0</v>
      </c>
      <c r="FS119" s="23">
        <f>EXP(-LN(2)/2)*FS118+(1-EXP(-LN(2)/2))/(LN(2)/2)*FM119*FP119*VLOOKUP('Données projet'!$B$16,Paramètres!$A$1:$I$89,3,0)*0.475*44/12</f>
        <v>0</v>
      </c>
      <c r="FT119" s="24">
        <f t="shared" si="78"/>
        <v>0</v>
      </c>
      <c r="FU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66.066790079749168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5.1159076974727213E-13</v>
      </c>
      <c r="GA119" s="18">
        <f>FZ119*VLOOKUP('Données projet'!$B$17,Paramètres!$A$1:$I$89,3,0)*VLOOKUP('Données projet'!$B$17,Paramètres!$A$1:$I$89,5,0)</f>
        <v>3.0593128030886877E-13</v>
      </c>
      <c r="GB119" s="14">
        <f t="shared" si="103"/>
        <v>4.0350537939347394E-12</v>
      </c>
      <c r="GC119" s="22">
        <f t="shared" si="79"/>
        <v>7.5605490043076185E-12</v>
      </c>
      <c r="GD119" s="62">
        <f t="shared" si="80"/>
        <v>278.91156362575452</v>
      </c>
      <c r="GE119" s="62">
        <f ca="1">AVERAGE(OFFSET($GD$3,0,0,'Données projet'!$E$17+1,1))-AVERAGE(OFFSET($H$3,0,0,'Données projet'!$E$17+1,1))</f>
        <v>315.909549580511</v>
      </c>
      <c r="GF119" s="62">
        <f t="shared" si="104"/>
        <v>208.56856525402051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projet'!$B$17,Paramètres!$A$1:$I$89,3,0)*0.475*44/12</f>
        <v>0</v>
      </c>
      <c r="GM119" s="23">
        <f>EXP(-LN(2)/25)*GM118+(1-EXP(-LN(2)/25))/(LN(2)/25)*Calculateur!GH119*Calculateur!GJ119*VLOOKUP('Données projet'!$B$17,Paramètres!$A$1:$I$89,3,0)*0.475*44/12</f>
        <v>0</v>
      </c>
      <c r="GN119" s="23">
        <f>EXP(-LN(2)/2)*GN118+(1-EXP(-LN(2)/2))/(LN(2)/2)*GH119*GK119*VLOOKUP('Données projet'!$B$17,Paramètres!$A$1:$I$89,3,0)*0.475*44/12</f>
        <v>0</v>
      </c>
      <c r="GO119" s="23">
        <f t="shared" si="81"/>
        <v>0</v>
      </c>
      <c r="GP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66.066790079749168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1.1368683772161603E-13</v>
      </c>
      <c r="GV119" s="18">
        <f>GU119*VLOOKUP('Données projet'!$B$18,Paramètres!$A$1:$I$89,3,0)*VLOOKUP('Données projet'!$B$18,Paramètres!$A$1:$I$89,5,0)</f>
        <v>7.626113074366004E-14</v>
      </c>
      <c r="GW119" s="14">
        <f t="shared" si="105"/>
        <v>1.1823749172251317E-12</v>
      </c>
      <c r="GX119" s="22">
        <f t="shared" si="82"/>
        <v>2.1921244502123119E-12</v>
      </c>
      <c r="GY119" s="62">
        <f t="shared" si="83"/>
        <v>278.91156362574918</v>
      </c>
      <c r="GZ119" s="62">
        <f ca="1">AVERAGE(OFFSET($GY$3,0,0,'Données projet'!$E$18+1,1))-AVERAGE(OFFSET($H$3,0,0,'Données projet'!$E$18+1,1))</f>
        <v>254.35742752782755</v>
      </c>
      <c r="HA119" s="62">
        <f t="shared" si="106"/>
        <v>171.79611712137395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>
        <f>EXP(-LN(2)/35)*HG118+(1-EXP(-LN(2)/35))/(LN(2)/35)*HC119*HD119*VLOOKUP('Données projet'!$B$18,Paramètres!$A$1:$I$89,3,0)*0.475*44/12</f>
        <v>0</v>
      </c>
      <c r="HH119" s="23">
        <f>EXP(-LN(2)/25)*HH118+(1-EXP(-LN(2)/25))/(LN(2)/25)*Calculateur!HC119*Calculateur!HE119*VLOOKUP('Données projet'!$B$18,Paramètres!$A$1:$I$89,3,0)*0.475*44/12</f>
        <v>0</v>
      </c>
      <c r="HI119" s="23">
        <f>EXP(-LN(2)/2)*HI118+(1-EXP(-LN(2)/2))/(LN(2)/2)*HC119*HF119*VLOOKUP('Données projet'!$B$18,Paramètres!$A$1:$I$89,3,0)*0.475*44/12</f>
        <v>0</v>
      </c>
      <c r="HJ119" s="24">
        <f t="shared" si="84"/>
        <v>0</v>
      </c>
    </row>
    <row r="120" spans="1:218" s="5" customFormat="1" x14ac:dyDescent="0.3">
      <c r="A120" s="11">
        <f t="shared" si="85"/>
        <v>117</v>
      </c>
      <c r="B120" s="76">
        <f>'Scénario référence'!$B$16*5+'Scénario référence'!$B$17*0+'Scénario référence'!$B$18*5</f>
        <v>3.9405000000000001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14.448500000000001</v>
      </c>
      <c r="H120" s="69">
        <f t="shared" si="56"/>
        <v>161.30656666666667</v>
      </c>
      <c r="I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66.135022478525471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210.54472399593521</v>
      </c>
      <c r="T120" s="62">
        <f t="shared" si="88"/>
        <v>181.14158435194193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66.135022478525471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289.05608923588198</v>
      </c>
      <c r="AO120" s="62">
        <f t="shared" si="90"/>
        <v>220.06639020312738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66.135022478525471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1.3150000000000006</v>
      </c>
      <c r="BD120" s="13">
        <f>IF('Données projet'!$A$88&gt;35,BD119+BC120-BL119,IF(A120&lt;'Données projet'!$A$88,$BA$205^A120,IF(A120='Données projet'!$A$88,'Données projet'!$B$88,BD119+BC120-BL119)))</f>
        <v>116.69666666666663</v>
      </c>
      <c r="BE120" s="14">
        <f>BD120*VLOOKUP('Données projet'!$B$11,Paramètres!$A$1:$I$89,3,0)*VLOOKUP('Données projet'!$B$11,Paramètres!$A$1:$I$89,5,0)</f>
        <v>134.43455999999995</v>
      </c>
      <c r="BF120" s="14">
        <f t="shared" si="91"/>
        <v>35.019046965466664</v>
      </c>
      <c r="BG120" s="22">
        <f t="shared" si="61"/>
        <v>295.13169879818764</v>
      </c>
      <c r="BH120" s="62">
        <f t="shared" si="62"/>
        <v>574.29344788611434</v>
      </c>
      <c r="BI120" s="62">
        <f ca="1">AVERAGE(OFFSET($BH$3,0,0,'Données projet'!$E$11+1,1))-AVERAGE(OFFSET($H$3,0,0,'Données projet'!$E$11+1,1))</f>
        <v>299.54950406029354</v>
      </c>
      <c r="BJ120" s="62">
        <f t="shared" si="92"/>
        <v>208.26364698165739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66.135022478525471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2.1367521367521363</v>
      </c>
      <c r="BY120" s="13">
        <f>IF('Données projet'!$A$114&gt;35,BY119+BX120-CG119,IF(A120&lt;'Données projet'!$A$114,$BV$205^A120,IF(A120='Données projet'!$A$114,'Données projet'!$B$114,BY119+BX120-CG119)))</f>
        <v>237.60683760683756</v>
      </c>
      <c r="BZ120" s="14">
        <f>BY120*VLOOKUP('Données projet'!$B$12,Paramètres!$A$1:$I$89,3,0)*VLOOKUP('Données projet'!$B$12,Paramètres!$A$1:$I$89,5,0)</f>
        <v>255.75999999999993</v>
      </c>
      <c r="CA120" s="14">
        <f t="shared" si="93"/>
        <v>61.817718247026235</v>
      </c>
      <c r="CB120" s="22">
        <f t="shared" si="64"/>
        <v>553.11452594690388</v>
      </c>
      <c r="CC120" s="62">
        <f t="shared" si="65"/>
        <v>832.27627503483063</v>
      </c>
      <c r="CD120" s="62">
        <f ca="1">AVERAGE(OFFSET($CC$3,0,0,'Données projet'!$E$12+1,1))-AVERAGE(OFFSET($H$3,0,0,'Données projet'!$E$12+1,1))</f>
        <v>441.30518831297212</v>
      </c>
      <c r="CE120" s="62">
        <f t="shared" si="94"/>
        <v>270.42872405271851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66.135022478525471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-1.1368683772161603E-13</v>
      </c>
      <c r="CU120" s="18">
        <f>CT120*VLOOKUP('Données projet'!$B$13,Paramètres!$A$1:$I$89,3,0)*VLOOKUP('Données projet'!$B$13,Paramètres!$A$1:$I$89,5,0)</f>
        <v>-9.9316821433603781E-14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310.81258463659196</v>
      </c>
      <c r="CZ120" s="62">
        <f t="shared" si="96"/>
        <v>287.31099756692083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66.135022478525471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2.1367521367521363</v>
      </c>
      <c r="DO120" s="13">
        <f>IF('Données projet'!$A$166&gt;35,DO119+DN120-DW119,IF(A120&lt;'Données projet'!$A$166,$DL$205^A120,IF(A120='Données projet'!$A$166,'Données projet'!$B$166,DO119+DN120-DW119)))</f>
        <v>237.60683760683756</v>
      </c>
      <c r="DP120" s="18">
        <f>DO120*VLOOKUP('Données projet'!$B$14,Paramètres!$A$1:$I$89,3,0)*VLOOKUP('Données projet'!$B$14,Paramètres!$A$1:$I$89,5,0)</f>
        <v>248.34666666666664</v>
      </c>
      <c r="DQ120" s="14">
        <f t="shared" si="97"/>
        <v>60.231767799004281</v>
      </c>
      <c r="DR120" s="22">
        <f t="shared" si="70"/>
        <v>537.4407733610434</v>
      </c>
      <c r="DS120" s="62">
        <f t="shared" si="71"/>
        <v>816.60252244897015</v>
      </c>
      <c r="DT120" s="62">
        <f ca="1">AVERAGE(OFFSET($DS$3,0,0,'Données projet'!$E$14+1,1))-AVERAGE(OFFSET($H$3,0,0,'Données projet'!$E$14+1,1))</f>
        <v>431.19274104373625</v>
      </c>
      <c r="DU120" s="62">
        <f t="shared" si="98"/>
        <v>264.67919175178133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66.135022478525471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-6.2527760746888816E-13</v>
      </c>
      <c r="EK120" s="18">
        <f>EJ120*VLOOKUP('Données projet'!$B$15,Paramètres!$A$1:$I$89,3,0)*VLOOKUP('Données projet'!$B$15,Paramètres!$A$1:$I$89,5,0)</f>
        <v>-2.9262992029543964E-13</v>
      </c>
      <c r="EL120" s="14" t="e">
        <f t="shared" si="99"/>
        <v>#NUM!</v>
      </c>
      <c r="EM120" s="22" t="e">
        <f t="shared" si="73"/>
        <v>#NUM!</v>
      </c>
      <c r="EN120" s="62" t="e">
        <f t="shared" si="74"/>
        <v>#NUM!</v>
      </c>
      <c r="EO120" s="62">
        <f ca="1">AVERAGE(OFFSET($EN$3,0,0,'Données projet'!$E$15+1,1))-AVERAGE(OFFSET($H$3,0,0,'Données projet'!$E$15+1,1))</f>
        <v>291.68530745507815</v>
      </c>
      <c r="EP120" s="62">
        <f t="shared" si="100"/>
        <v>175.95121106728979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0</v>
      </c>
      <c r="EZ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66.135022478525471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-1.1368683772161603E-13</v>
      </c>
      <c r="FF120" s="18">
        <f>FE120*VLOOKUP('Données projet'!$B$16,Paramètres!$A$1:$I$89,3,0)*VLOOKUP('Données projet'!$B$16,Paramètres!$A$1:$I$89,5,0)</f>
        <v>-7.4487616075202823E-14</v>
      </c>
      <c r="FG120" s="14" t="e">
        <f t="shared" si="101"/>
        <v>#NUM!</v>
      </c>
      <c r="FH120" s="22" t="e">
        <f t="shared" si="76"/>
        <v>#NUM!</v>
      </c>
      <c r="FI120" s="62" t="e">
        <f t="shared" si="77"/>
        <v>#NUM!</v>
      </c>
      <c r="FJ120" s="62">
        <f ca="1">AVERAGE(OFFSET($FI$3,0,0,'Données projet'!$E$16+1,1))-AVERAGE(OFFSET($H$3,0,0,'Données projet'!$E$16+1,1))</f>
        <v>248.75689726928428</v>
      </c>
      <c r="FK120" s="62">
        <f t="shared" si="102"/>
        <v>232.02291680388336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projet'!$B$16,Paramètres!$A$1:$I$89,3,0)*0.475*44/12</f>
        <v>0</v>
      </c>
      <c r="FR120" s="23">
        <f>EXP(-LN(2)/25)*FR119+(1-EXP(-LN(2)/25))/(LN(2)/25)*Calculateur!FM120*Calculateur!FO120*VLOOKUP('Données projet'!$B$16,Paramètres!$A$1:$I$89,3,0)*0.475*44/12</f>
        <v>0</v>
      </c>
      <c r="FS120" s="23">
        <f>EXP(-LN(2)/2)*FS119+(1-EXP(-LN(2)/2))/(LN(2)/2)*FM120*FP120*VLOOKUP('Données projet'!$B$16,Paramètres!$A$1:$I$89,3,0)*0.475*44/12</f>
        <v>0</v>
      </c>
      <c r="FT120" s="24">
        <f t="shared" si="78"/>
        <v>0</v>
      </c>
      <c r="FU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66.135022478525471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5.1159076974727213E-13</v>
      </c>
      <c r="GA120" s="18">
        <f>FZ120*VLOOKUP('Données projet'!$B$17,Paramètres!$A$1:$I$89,3,0)*VLOOKUP('Données projet'!$B$17,Paramètres!$A$1:$I$89,5,0)</f>
        <v>3.0593128030886877E-13</v>
      </c>
      <c r="GB120" s="14">
        <f t="shared" si="103"/>
        <v>4.0350537939347394E-12</v>
      </c>
      <c r="GC120" s="22">
        <f t="shared" si="79"/>
        <v>7.5605490043076185E-12</v>
      </c>
      <c r="GD120" s="62">
        <f t="shared" si="80"/>
        <v>279.16174908793425</v>
      </c>
      <c r="GE120" s="62">
        <f ca="1">AVERAGE(OFFSET($GD$3,0,0,'Données projet'!$E$17+1,1))-AVERAGE(OFFSET($H$3,0,0,'Données projet'!$E$17+1,1))</f>
        <v>315.909549580511</v>
      </c>
      <c r="GF120" s="62">
        <f t="shared" si="104"/>
        <v>208.56856525402051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projet'!$B$17,Paramètres!$A$1:$I$89,3,0)*0.475*44/12</f>
        <v>0</v>
      </c>
      <c r="GM120" s="23">
        <f>EXP(-LN(2)/25)*GM119+(1-EXP(-LN(2)/25))/(LN(2)/25)*Calculateur!GH120*Calculateur!GJ120*VLOOKUP('Données projet'!$B$17,Paramètres!$A$1:$I$89,3,0)*0.475*44/12</f>
        <v>0</v>
      </c>
      <c r="GN120" s="23">
        <f>EXP(-LN(2)/2)*GN119+(1-EXP(-LN(2)/2))/(LN(2)/2)*GH120*GK120*VLOOKUP('Données projet'!$B$17,Paramètres!$A$1:$I$89,3,0)*0.475*44/12</f>
        <v>0</v>
      </c>
      <c r="GO120" s="23">
        <f t="shared" si="81"/>
        <v>0</v>
      </c>
      <c r="GP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66.135022478525471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1.1368683772161603E-13</v>
      </c>
      <c r="GV120" s="18">
        <f>GU120*VLOOKUP('Données projet'!$B$18,Paramètres!$A$1:$I$89,3,0)*VLOOKUP('Données projet'!$B$18,Paramètres!$A$1:$I$89,5,0)</f>
        <v>7.626113074366004E-14</v>
      </c>
      <c r="GW120" s="14">
        <f t="shared" si="105"/>
        <v>1.1823749172251317E-12</v>
      </c>
      <c r="GX120" s="22">
        <f t="shared" si="82"/>
        <v>2.1921244502123119E-12</v>
      </c>
      <c r="GY120" s="62">
        <f t="shared" si="83"/>
        <v>279.16174908792891</v>
      </c>
      <c r="GZ120" s="62">
        <f ca="1">AVERAGE(OFFSET($GY$3,0,0,'Données projet'!$E$18+1,1))-AVERAGE(OFFSET($H$3,0,0,'Données projet'!$E$18+1,1))</f>
        <v>254.35742752782755</v>
      </c>
      <c r="HA120" s="62">
        <f t="shared" si="106"/>
        <v>171.79611712137395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>
        <f>EXP(-LN(2)/35)*HG119+(1-EXP(-LN(2)/35))/(LN(2)/35)*HC120*HD120*VLOOKUP('Données projet'!$B$18,Paramètres!$A$1:$I$89,3,0)*0.475*44/12</f>
        <v>0</v>
      </c>
      <c r="HH120" s="23">
        <f>EXP(-LN(2)/25)*HH119+(1-EXP(-LN(2)/25))/(LN(2)/25)*Calculateur!HC120*Calculateur!HE120*VLOOKUP('Données projet'!$B$18,Paramètres!$A$1:$I$89,3,0)*0.475*44/12</f>
        <v>0</v>
      </c>
      <c r="HI120" s="23">
        <f>EXP(-LN(2)/2)*HI119+(1-EXP(-LN(2)/2))/(LN(2)/2)*HC120*HF120*VLOOKUP('Données projet'!$B$18,Paramètres!$A$1:$I$89,3,0)*0.475*44/12</f>
        <v>0</v>
      </c>
      <c r="HJ120" s="24">
        <f t="shared" si="84"/>
        <v>0</v>
      </c>
    </row>
    <row r="121" spans="1:218" s="5" customFormat="1" x14ac:dyDescent="0.3">
      <c r="A121" s="11">
        <f t="shared" si="85"/>
        <v>118</v>
      </c>
      <c r="B121" s="76">
        <f>'Scénario référence'!$B$16*5+'Scénario référence'!$B$17*0+'Scénario référence'!$B$18*5</f>
        <v>3.9405000000000001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14.448500000000001</v>
      </c>
      <c r="H121" s="69">
        <f t="shared" si="56"/>
        <v>161.30656666666667</v>
      </c>
      <c r="I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66.202071197727804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210.54472399593521</v>
      </c>
      <c r="T121" s="62">
        <f t="shared" si="88"/>
        <v>181.14158435194193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66.202071197727804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289.05608923588198</v>
      </c>
      <c r="AO121" s="62">
        <f t="shared" si="90"/>
        <v>220.06639020312738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66.202071197727804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1.3150000000000006</v>
      </c>
      <c r="BD121" s="13">
        <f>IF('Données projet'!$A$88&gt;35,BD120+BC121-BL120,IF(A121&lt;'Données projet'!$A$88,$BA$205^A121,IF(A121='Données projet'!$A$88,'Données projet'!$B$88,BD120+BC121-BL120)))</f>
        <v>118.01166666666663</v>
      </c>
      <c r="BE121" s="14">
        <f>BD121*VLOOKUP('Données projet'!$B$11,Paramètres!$A$1:$I$89,3,0)*VLOOKUP('Données projet'!$B$11,Paramètres!$A$1:$I$89,5,0)</f>
        <v>135.94943999999995</v>
      </c>
      <c r="BF121" s="14">
        <f t="shared" si="91"/>
        <v>35.367499480643595</v>
      </c>
      <c r="BG121" s="22">
        <f t="shared" si="61"/>
        <v>298.37700292878753</v>
      </c>
      <c r="BH121" s="62">
        <f t="shared" si="62"/>
        <v>577.78459732045621</v>
      </c>
      <c r="BI121" s="62">
        <f ca="1">AVERAGE(OFFSET($BH$3,0,0,'Données projet'!$E$11+1,1))-AVERAGE(OFFSET($H$3,0,0,'Données projet'!$E$11+1,1))</f>
        <v>299.54950406029354</v>
      </c>
      <c r="BJ121" s="62">
        <f t="shared" si="92"/>
        <v>208.26364698165739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66.202071197727804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2.1367521367521363</v>
      </c>
      <c r="BY121" s="13">
        <f>IF('Données projet'!$A$114&gt;35,BY120+BX121-CG120,IF(A121&lt;'Données projet'!$A$114,$BV$205^A121,IF(A121='Données projet'!$A$114,'Données projet'!$B$114,BY120+BX121-CG120)))</f>
        <v>239.74358974358969</v>
      </c>
      <c r="BZ121" s="14">
        <f>BY121*VLOOKUP('Données projet'!$B$12,Paramètres!$A$1:$I$89,3,0)*VLOOKUP('Données projet'!$B$12,Paramètres!$A$1:$I$89,5,0)</f>
        <v>258.05999999999995</v>
      </c>
      <c r="CA121" s="14">
        <f t="shared" si="93"/>
        <v>62.30866827272127</v>
      </c>
      <c r="CB121" s="22">
        <f t="shared" si="64"/>
        <v>557.97543057498933</v>
      </c>
      <c r="CC121" s="62">
        <f t="shared" si="65"/>
        <v>837.38302496665801</v>
      </c>
      <c r="CD121" s="62">
        <f ca="1">AVERAGE(OFFSET($CC$3,0,0,'Données projet'!$E$12+1,1))-AVERAGE(OFFSET($H$3,0,0,'Données projet'!$E$12+1,1))</f>
        <v>441.30518831297212</v>
      </c>
      <c r="CE121" s="62">
        <f t="shared" si="94"/>
        <v>270.42872405271851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66.202071197727804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-1.1368683772161603E-13</v>
      </c>
      <c r="CU121" s="18">
        <f>CT121*VLOOKUP('Données projet'!$B$13,Paramètres!$A$1:$I$89,3,0)*VLOOKUP('Données projet'!$B$13,Paramètres!$A$1:$I$89,5,0)</f>
        <v>-9.9316821433603781E-14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310.81258463659196</v>
      </c>
      <c r="CZ121" s="62">
        <f t="shared" si="96"/>
        <v>287.31099756692083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66.202071197727804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2.1367521367521363</v>
      </c>
      <c r="DO121" s="13">
        <f>IF('Données projet'!$A$166&gt;35,DO120+DN121-DW120,IF(A121&lt;'Données projet'!$A$166,$DL$205^A121,IF(A121='Données projet'!$A$166,'Données projet'!$B$166,DO120+DN121-DW120)))</f>
        <v>239.74358974358969</v>
      </c>
      <c r="DP121" s="18">
        <f>DO121*VLOOKUP('Données projet'!$B$14,Paramètres!$A$1:$I$89,3,0)*VLOOKUP('Données projet'!$B$14,Paramètres!$A$1:$I$89,5,0)</f>
        <v>250.57999999999998</v>
      </c>
      <c r="DQ121" s="14">
        <f t="shared" si="97"/>
        <v>60.710122367679979</v>
      </c>
      <c r="DR121" s="22">
        <f t="shared" si="70"/>
        <v>542.16362979037581</v>
      </c>
      <c r="DS121" s="62">
        <f t="shared" si="71"/>
        <v>821.57122418204449</v>
      </c>
      <c r="DT121" s="62">
        <f ca="1">AVERAGE(OFFSET($DS$3,0,0,'Données projet'!$E$14+1,1))-AVERAGE(OFFSET($H$3,0,0,'Données projet'!$E$14+1,1))</f>
        <v>431.19274104373625</v>
      </c>
      <c r="DU121" s="62">
        <f t="shared" si="98"/>
        <v>264.67919175178133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66.202071197727804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-6.2527760746888816E-13</v>
      </c>
      <c r="EK121" s="18">
        <f>EJ121*VLOOKUP('Données projet'!$B$15,Paramètres!$A$1:$I$89,3,0)*VLOOKUP('Données projet'!$B$15,Paramètres!$A$1:$I$89,5,0)</f>
        <v>-2.9262992029543964E-13</v>
      </c>
      <c r="EL121" s="14" t="e">
        <f t="shared" si="99"/>
        <v>#NUM!</v>
      </c>
      <c r="EM121" s="22" t="e">
        <f t="shared" si="73"/>
        <v>#NUM!</v>
      </c>
      <c r="EN121" s="62" t="e">
        <f t="shared" si="74"/>
        <v>#NUM!</v>
      </c>
      <c r="EO121" s="62">
        <f ca="1">AVERAGE(OFFSET($EN$3,0,0,'Données projet'!$E$15+1,1))-AVERAGE(OFFSET($H$3,0,0,'Données projet'!$E$15+1,1))</f>
        <v>291.68530745507815</v>
      </c>
      <c r="EP121" s="62">
        <f t="shared" si="100"/>
        <v>175.95121106728979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0</v>
      </c>
      <c r="EZ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66.202071197727804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-1.1368683772161603E-13</v>
      </c>
      <c r="FF121" s="18">
        <f>FE121*VLOOKUP('Données projet'!$B$16,Paramètres!$A$1:$I$89,3,0)*VLOOKUP('Données projet'!$B$16,Paramètres!$A$1:$I$89,5,0)</f>
        <v>-7.4487616075202823E-14</v>
      </c>
      <c r="FG121" s="14" t="e">
        <f t="shared" si="101"/>
        <v>#NUM!</v>
      </c>
      <c r="FH121" s="22" t="e">
        <f t="shared" si="76"/>
        <v>#NUM!</v>
      </c>
      <c r="FI121" s="62" t="e">
        <f t="shared" si="77"/>
        <v>#NUM!</v>
      </c>
      <c r="FJ121" s="62">
        <f ca="1">AVERAGE(OFFSET($FI$3,0,0,'Données projet'!$E$16+1,1))-AVERAGE(OFFSET($H$3,0,0,'Données projet'!$E$16+1,1))</f>
        <v>248.75689726928428</v>
      </c>
      <c r="FK121" s="62">
        <f t="shared" si="102"/>
        <v>232.02291680388336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projet'!$B$16,Paramètres!$A$1:$I$89,3,0)*0.475*44/12</f>
        <v>0</v>
      </c>
      <c r="FR121" s="23">
        <f>EXP(-LN(2)/25)*FR120+(1-EXP(-LN(2)/25))/(LN(2)/25)*Calculateur!FM121*Calculateur!FO121*VLOOKUP('Données projet'!$B$16,Paramètres!$A$1:$I$89,3,0)*0.475*44/12</f>
        <v>0</v>
      </c>
      <c r="FS121" s="23">
        <f>EXP(-LN(2)/2)*FS120+(1-EXP(-LN(2)/2))/(LN(2)/2)*FM121*FP121*VLOOKUP('Données projet'!$B$16,Paramètres!$A$1:$I$89,3,0)*0.475*44/12</f>
        <v>0</v>
      </c>
      <c r="FT121" s="24">
        <f t="shared" si="78"/>
        <v>0</v>
      </c>
      <c r="FU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66.202071197727804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5.1159076974727213E-13</v>
      </c>
      <c r="GA121" s="18">
        <f>FZ121*VLOOKUP('Données projet'!$B$17,Paramètres!$A$1:$I$89,3,0)*VLOOKUP('Données projet'!$B$17,Paramètres!$A$1:$I$89,5,0)</f>
        <v>3.0593128030886877E-13</v>
      </c>
      <c r="GB121" s="14">
        <f t="shared" si="103"/>
        <v>4.0350537939347394E-12</v>
      </c>
      <c r="GC121" s="22">
        <f t="shared" si="79"/>
        <v>7.5605490043076185E-12</v>
      </c>
      <c r="GD121" s="62">
        <f t="shared" si="80"/>
        <v>279.40759439167618</v>
      </c>
      <c r="GE121" s="62">
        <f ca="1">AVERAGE(OFFSET($GD$3,0,0,'Données projet'!$E$17+1,1))-AVERAGE(OFFSET($H$3,0,0,'Données projet'!$E$17+1,1))</f>
        <v>315.909549580511</v>
      </c>
      <c r="GF121" s="62">
        <f t="shared" si="104"/>
        <v>208.56856525402051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projet'!$B$17,Paramètres!$A$1:$I$89,3,0)*0.475*44/12</f>
        <v>0</v>
      </c>
      <c r="GM121" s="23">
        <f>EXP(-LN(2)/25)*GM120+(1-EXP(-LN(2)/25))/(LN(2)/25)*Calculateur!GH121*Calculateur!GJ121*VLOOKUP('Données projet'!$B$17,Paramètres!$A$1:$I$89,3,0)*0.475*44/12</f>
        <v>0</v>
      </c>
      <c r="GN121" s="23">
        <f>EXP(-LN(2)/2)*GN120+(1-EXP(-LN(2)/2))/(LN(2)/2)*GH121*GK121*VLOOKUP('Données projet'!$B$17,Paramètres!$A$1:$I$89,3,0)*0.475*44/12</f>
        <v>0</v>
      </c>
      <c r="GO121" s="23">
        <f t="shared" si="81"/>
        <v>0</v>
      </c>
      <c r="GP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66.202071197727804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1.1368683772161603E-13</v>
      </c>
      <c r="GV121" s="18">
        <f>GU121*VLOOKUP('Données projet'!$B$18,Paramètres!$A$1:$I$89,3,0)*VLOOKUP('Données projet'!$B$18,Paramètres!$A$1:$I$89,5,0)</f>
        <v>7.626113074366004E-14</v>
      </c>
      <c r="GW121" s="14">
        <f t="shared" si="105"/>
        <v>1.1823749172251317E-12</v>
      </c>
      <c r="GX121" s="22">
        <f t="shared" si="82"/>
        <v>2.1921244502123119E-12</v>
      </c>
      <c r="GY121" s="62">
        <f t="shared" si="83"/>
        <v>279.40759439167084</v>
      </c>
      <c r="GZ121" s="62">
        <f ca="1">AVERAGE(OFFSET($GY$3,0,0,'Données projet'!$E$18+1,1))-AVERAGE(OFFSET($H$3,0,0,'Données projet'!$E$18+1,1))</f>
        <v>254.35742752782755</v>
      </c>
      <c r="HA121" s="62">
        <f t="shared" si="106"/>
        <v>171.79611712137395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>
        <f>EXP(-LN(2)/35)*HG120+(1-EXP(-LN(2)/35))/(LN(2)/35)*HC121*HD121*VLOOKUP('Données projet'!$B$18,Paramètres!$A$1:$I$89,3,0)*0.475*44/12</f>
        <v>0</v>
      </c>
      <c r="HH121" s="23">
        <f>EXP(-LN(2)/25)*HH120+(1-EXP(-LN(2)/25))/(LN(2)/25)*Calculateur!HC121*Calculateur!HE121*VLOOKUP('Données projet'!$B$18,Paramètres!$A$1:$I$89,3,0)*0.475*44/12</f>
        <v>0</v>
      </c>
      <c r="HI121" s="23">
        <f>EXP(-LN(2)/2)*HI120+(1-EXP(-LN(2)/2))/(LN(2)/2)*HC121*HF121*VLOOKUP('Données projet'!$B$18,Paramètres!$A$1:$I$89,3,0)*0.475*44/12</f>
        <v>0</v>
      </c>
      <c r="HJ121" s="24">
        <f t="shared" si="84"/>
        <v>0</v>
      </c>
    </row>
    <row r="122" spans="1:218" s="5" customFormat="1" x14ac:dyDescent="0.3">
      <c r="A122" s="11">
        <f t="shared" si="85"/>
        <v>119</v>
      </c>
      <c r="B122" s="76">
        <f>'Scénario référence'!$B$16*5+'Scénario référence'!$B$17*0+'Scénario référence'!$B$18*5</f>
        <v>3.9405000000000001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14.448500000000001</v>
      </c>
      <c r="H122" s="69">
        <f t="shared" si="56"/>
        <v>161.30656666666667</v>
      </c>
      <c r="I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66.267956771550445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210.54472399593521</v>
      </c>
      <c r="T122" s="62">
        <f t="shared" si="88"/>
        <v>181.14158435194193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66.267956771550445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289.05608923588198</v>
      </c>
      <c r="AO122" s="62">
        <f t="shared" si="90"/>
        <v>220.06639020312738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66.267956771550445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1.3150000000000006</v>
      </c>
      <c r="BD122" s="13">
        <f>IF('Données projet'!$A$88&gt;35,BD121+BC122-BL121,IF(A122&lt;'Données projet'!$A$88,$BA$205^A122,IF(A122='Données projet'!$A$88,'Données projet'!$B$88,BD121+BC122-BL121)))</f>
        <v>119.32666666666663</v>
      </c>
      <c r="BE122" s="14">
        <f>BD122*VLOOKUP('Données projet'!$B$11,Paramètres!$A$1:$I$89,3,0)*VLOOKUP('Données projet'!$B$11,Paramètres!$A$1:$I$89,5,0)</f>
        <v>137.46431999999996</v>
      </c>
      <c r="BF122" s="14">
        <f t="shared" si="91"/>
        <v>35.715500321625576</v>
      </c>
      <c r="BG122" s="22">
        <f t="shared" si="61"/>
        <v>301.6215203934978</v>
      </c>
      <c r="BH122" s="62">
        <f t="shared" si="62"/>
        <v>581.27069522251611</v>
      </c>
      <c r="BI122" s="62">
        <f ca="1">AVERAGE(OFFSET($BH$3,0,0,'Données projet'!$E$11+1,1))-AVERAGE(OFFSET($H$3,0,0,'Données projet'!$E$11+1,1))</f>
        <v>299.54950406029354</v>
      </c>
      <c r="BJ122" s="62">
        <f t="shared" si="92"/>
        <v>208.26364698165739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66.267956771550445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2.1367521367521363</v>
      </c>
      <c r="BY122" s="13">
        <f>IF('Données projet'!$A$114&gt;35,BY121+BX122-CG121,IF(A122&lt;'Données projet'!$A$114,$BV$205^A122,IF(A122='Données projet'!$A$114,'Données projet'!$B$114,BY121+BX122-CG121)))</f>
        <v>241.88034188034183</v>
      </c>
      <c r="BZ122" s="14">
        <f>BY122*VLOOKUP('Données projet'!$B$12,Paramètres!$A$1:$I$89,3,0)*VLOOKUP('Données projet'!$B$12,Paramètres!$A$1:$I$89,5,0)</f>
        <v>260.35999999999996</v>
      </c>
      <c r="CA122" s="14">
        <f t="shared" si="93"/>
        <v>62.799109227559157</v>
      </c>
      <c r="CB122" s="22">
        <f t="shared" si="64"/>
        <v>562.83544857133199</v>
      </c>
      <c r="CC122" s="62">
        <f t="shared" si="65"/>
        <v>842.4846234003503</v>
      </c>
      <c r="CD122" s="62">
        <f ca="1">AVERAGE(OFFSET($CC$3,0,0,'Données projet'!$E$12+1,1))-AVERAGE(OFFSET($H$3,0,0,'Données projet'!$E$12+1,1))</f>
        <v>441.30518831297212</v>
      </c>
      <c r="CE122" s="62">
        <f t="shared" si="94"/>
        <v>270.42872405271851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66.267956771550445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-1.1368683772161603E-13</v>
      </c>
      <c r="CU122" s="18">
        <f>CT122*VLOOKUP('Données projet'!$B$13,Paramètres!$A$1:$I$89,3,0)*VLOOKUP('Données projet'!$B$13,Paramètres!$A$1:$I$89,5,0)</f>
        <v>-9.9316821433603781E-14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310.81258463659196</v>
      </c>
      <c r="CZ122" s="62">
        <f t="shared" si="96"/>
        <v>287.31099756692083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66.267956771550445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2.1367521367521363</v>
      </c>
      <c r="DO122" s="13">
        <f>IF('Données projet'!$A$166&gt;35,DO121+DN122-DW121,IF(A122&lt;'Données projet'!$A$166,$DL$205^A122,IF(A122='Données projet'!$A$166,'Données projet'!$B$166,DO121+DN122-DW121)))</f>
        <v>241.88034188034183</v>
      </c>
      <c r="DP122" s="18">
        <f>DO122*VLOOKUP('Données projet'!$B$14,Paramètres!$A$1:$I$89,3,0)*VLOOKUP('Données projet'!$B$14,Paramètres!$A$1:$I$89,5,0)</f>
        <v>252.8133333333333</v>
      </c>
      <c r="DQ122" s="14">
        <f t="shared" si="97"/>
        <v>61.187980925850582</v>
      </c>
      <c r="DR122" s="22">
        <f t="shared" si="70"/>
        <v>546.88562233474534</v>
      </c>
      <c r="DS122" s="62">
        <f t="shared" si="71"/>
        <v>826.53479716376364</v>
      </c>
      <c r="DT122" s="62">
        <f ca="1">AVERAGE(OFFSET($DS$3,0,0,'Données projet'!$E$14+1,1))-AVERAGE(OFFSET($H$3,0,0,'Données projet'!$E$14+1,1))</f>
        <v>431.19274104373625</v>
      </c>
      <c r="DU122" s="62">
        <f t="shared" si="98"/>
        <v>264.67919175178133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66.267956771550445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-6.2527760746888816E-13</v>
      </c>
      <c r="EK122" s="18">
        <f>EJ122*VLOOKUP('Données projet'!$B$15,Paramètres!$A$1:$I$89,3,0)*VLOOKUP('Données projet'!$B$15,Paramètres!$A$1:$I$89,5,0)</f>
        <v>-2.9262992029543964E-13</v>
      </c>
      <c r="EL122" s="14" t="e">
        <f t="shared" si="99"/>
        <v>#NUM!</v>
      </c>
      <c r="EM122" s="22" t="e">
        <f t="shared" si="73"/>
        <v>#NUM!</v>
      </c>
      <c r="EN122" s="62" t="e">
        <f t="shared" si="74"/>
        <v>#NUM!</v>
      </c>
      <c r="EO122" s="62">
        <f ca="1">AVERAGE(OFFSET($EN$3,0,0,'Données projet'!$E$15+1,1))-AVERAGE(OFFSET($H$3,0,0,'Données projet'!$E$15+1,1))</f>
        <v>291.68530745507815</v>
      </c>
      <c r="EP122" s="62">
        <f t="shared" si="100"/>
        <v>175.95121106728979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0</v>
      </c>
      <c r="EZ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66.267956771550445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-1.1368683772161603E-13</v>
      </c>
      <c r="FF122" s="18">
        <f>FE122*VLOOKUP('Données projet'!$B$16,Paramètres!$A$1:$I$89,3,0)*VLOOKUP('Données projet'!$B$16,Paramètres!$A$1:$I$89,5,0)</f>
        <v>-7.4487616075202823E-14</v>
      </c>
      <c r="FG122" s="14" t="e">
        <f t="shared" si="101"/>
        <v>#NUM!</v>
      </c>
      <c r="FH122" s="22" t="e">
        <f t="shared" si="76"/>
        <v>#NUM!</v>
      </c>
      <c r="FI122" s="62" t="e">
        <f t="shared" si="77"/>
        <v>#NUM!</v>
      </c>
      <c r="FJ122" s="62">
        <f ca="1">AVERAGE(OFFSET($FI$3,0,0,'Données projet'!$E$16+1,1))-AVERAGE(OFFSET($H$3,0,0,'Données projet'!$E$16+1,1))</f>
        <v>248.75689726928428</v>
      </c>
      <c r="FK122" s="62">
        <f t="shared" si="102"/>
        <v>232.02291680388336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projet'!$B$16,Paramètres!$A$1:$I$89,3,0)*0.475*44/12</f>
        <v>0</v>
      </c>
      <c r="FR122" s="23">
        <f>EXP(-LN(2)/25)*FR121+(1-EXP(-LN(2)/25))/(LN(2)/25)*Calculateur!FM122*Calculateur!FO122*VLOOKUP('Données projet'!$B$16,Paramètres!$A$1:$I$89,3,0)*0.475*44/12</f>
        <v>0</v>
      </c>
      <c r="FS122" s="23">
        <f>EXP(-LN(2)/2)*FS121+(1-EXP(-LN(2)/2))/(LN(2)/2)*FM122*FP122*VLOOKUP('Données projet'!$B$16,Paramètres!$A$1:$I$89,3,0)*0.475*44/12</f>
        <v>0</v>
      </c>
      <c r="FT122" s="24">
        <f t="shared" si="78"/>
        <v>0</v>
      </c>
      <c r="FU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66.267956771550445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5.1159076974727213E-13</v>
      </c>
      <c r="GA122" s="18">
        <f>FZ122*VLOOKUP('Données projet'!$B$17,Paramètres!$A$1:$I$89,3,0)*VLOOKUP('Données projet'!$B$17,Paramètres!$A$1:$I$89,5,0)</f>
        <v>3.0593128030886877E-13</v>
      </c>
      <c r="GB122" s="14">
        <f t="shared" si="103"/>
        <v>4.0350537939347394E-12</v>
      </c>
      <c r="GC122" s="22">
        <f t="shared" si="79"/>
        <v>7.5605490043076185E-12</v>
      </c>
      <c r="GD122" s="62">
        <f t="shared" si="80"/>
        <v>279.64917482902587</v>
      </c>
      <c r="GE122" s="62">
        <f ca="1">AVERAGE(OFFSET($GD$3,0,0,'Données projet'!$E$17+1,1))-AVERAGE(OFFSET($H$3,0,0,'Données projet'!$E$17+1,1))</f>
        <v>315.909549580511</v>
      </c>
      <c r="GF122" s="62">
        <f t="shared" si="104"/>
        <v>208.56856525402051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projet'!$B$17,Paramètres!$A$1:$I$89,3,0)*0.475*44/12</f>
        <v>0</v>
      </c>
      <c r="GM122" s="23">
        <f>EXP(-LN(2)/25)*GM121+(1-EXP(-LN(2)/25))/(LN(2)/25)*Calculateur!GH122*Calculateur!GJ122*VLOOKUP('Données projet'!$B$17,Paramètres!$A$1:$I$89,3,0)*0.475*44/12</f>
        <v>0</v>
      </c>
      <c r="GN122" s="23">
        <f>EXP(-LN(2)/2)*GN121+(1-EXP(-LN(2)/2))/(LN(2)/2)*GH122*GK122*VLOOKUP('Données projet'!$B$17,Paramètres!$A$1:$I$89,3,0)*0.475*44/12</f>
        <v>0</v>
      </c>
      <c r="GO122" s="23">
        <f t="shared" si="81"/>
        <v>0</v>
      </c>
      <c r="GP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66.267956771550445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1.1368683772161603E-13</v>
      </c>
      <c r="GV122" s="18">
        <f>GU122*VLOOKUP('Données projet'!$B$18,Paramètres!$A$1:$I$89,3,0)*VLOOKUP('Données projet'!$B$18,Paramètres!$A$1:$I$89,5,0)</f>
        <v>7.626113074366004E-14</v>
      </c>
      <c r="GW122" s="14">
        <f t="shared" si="105"/>
        <v>1.1823749172251317E-12</v>
      </c>
      <c r="GX122" s="22">
        <f t="shared" si="82"/>
        <v>2.1921244502123119E-12</v>
      </c>
      <c r="GY122" s="62">
        <f t="shared" si="83"/>
        <v>279.64917482902052</v>
      </c>
      <c r="GZ122" s="62">
        <f ca="1">AVERAGE(OFFSET($GY$3,0,0,'Données projet'!$E$18+1,1))-AVERAGE(OFFSET($H$3,0,0,'Données projet'!$E$18+1,1))</f>
        <v>254.35742752782755</v>
      </c>
      <c r="HA122" s="62">
        <f t="shared" si="106"/>
        <v>171.79611712137395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>
        <f>EXP(-LN(2)/35)*HG121+(1-EXP(-LN(2)/35))/(LN(2)/35)*HC122*HD122*VLOOKUP('Données projet'!$B$18,Paramètres!$A$1:$I$89,3,0)*0.475*44/12</f>
        <v>0</v>
      </c>
      <c r="HH122" s="23">
        <f>EXP(-LN(2)/25)*HH121+(1-EXP(-LN(2)/25))/(LN(2)/25)*Calculateur!HC122*Calculateur!HE122*VLOOKUP('Données projet'!$B$18,Paramètres!$A$1:$I$89,3,0)*0.475*44/12</f>
        <v>0</v>
      </c>
      <c r="HI122" s="23">
        <f>EXP(-LN(2)/2)*HI121+(1-EXP(-LN(2)/2))/(LN(2)/2)*HC122*HF122*VLOOKUP('Données projet'!$B$18,Paramètres!$A$1:$I$89,3,0)*0.475*44/12</f>
        <v>0</v>
      </c>
      <c r="HJ122" s="24">
        <f t="shared" si="84"/>
        <v>0</v>
      </c>
    </row>
    <row r="123" spans="1:218" s="5" customFormat="1" x14ac:dyDescent="0.3">
      <c r="A123" s="11">
        <f t="shared" si="85"/>
        <v>120</v>
      </c>
      <c r="B123" s="76">
        <f>'Scénario référence'!$B$16*5+'Scénario référence'!$B$17*0+'Scénario référence'!$B$18*5</f>
        <v>3.9405000000000001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14.448500000000001</v>
      </c>
      <c r="H123" s="69">
        <f t="shared" si="56"/>
        <v>161.30656666666667</v>
      </c>
      <c r="I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66.332699377965355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210.54472399593521</v>
      </c>
      <c r="T123" s="62">
        <f t="shared" si="88"/>
        <v>181.14158435194193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66.332699377965355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289.05608923588198</v>
      </c>
      <c r="AO123" s="62">
        <f t="shared" si="90"/>
        <v>220.06639020312738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66.332699377965355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120.64166666666668</v>
      </c>
      <c r="BB123" s="13">
        <f>VLOOKUP(A123,'Données projet'!$A$87:$I$107,9,0)</f>
        <v>1.3150000000000006</v>
      </c>
      <c r="BC123" s="13">
        <f t="array" ref="BC123">INDEX(BB:BB,MIN(IF(ISNUMBER(BB123:BB319),ROW(BB123:BB319),"")))</f>
        <v>1.3150000000000006</v>
      </c>
      <c r="BD123" s="13">
        <f>IF('Données projet'!$A$88&gt;35,BD122+BC123-BL122,IF(A123&lt;'Données projet'!$A$88,$BA$205^A123,IF(A123='Données projet'!$A$88,'Données projet'!$B$88,BD122+BC123-BL122)))</f>
        <v>120.64166666666662</v>
      </c>
      <c r="BE123" s="14">
        <f>BD123*VLOOKUP('Données projet'!$B$11,Paramètres!$A$1:$I$89,3,0)*VLOOKUP('Données projet'!$B$11,Paramètres!$A$1:$I$89,5,0)</f>
        <v>138.97919999999993</v>
      </c>
      <c r="BF123" s="14">
        <f t="shared" si="91"/>
        <v>36.063055041985905</v>
      </c>
      <c r="BG123" s="22">
        <f t="shared" si="61"/>
        <v>304.86526086479199</v>
      </c>
      <c r="BH123" s="62">
        <f t="shared" si="62"/>
        <v>584.75182525066498</v>
      </c>
      <c r="BI123" s="62">
        <f ca="1">AVERAGE(OFFSET($BH$3,0,0,'Données projet'!$E$11+1,1))-AVERAGE(OFFSET($H$3,0,0,'Données projet'!$E$11+1,1))</f>
        <v>299.54950406029354</v>
      </c>
      <c r="BJ123" s="62">
        <f t="shared" si="92"/>
        <v>208.26364698165739</v>
      </c>
      <c r="BK123" s="16">
        <f>IF(ISNA(VLOOKUP(A123,'Données projet'!$A$87:$I$107,3,0)),0,VLOOKUP(A123,'Données projet'!$A$87:$I$107,3,0))</f>
        <v>10</v>
      </c>
      <c r="BL123" s="16">
        <f>IF(ISNA(VLOOKUP(A123,'Données projet'!$A$87:$I$107,4,0)),0,VLOOKUP(A123,'Données projet'!$A$87:$I$107,4,0))</f>
        <v>8.875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66.332699377965355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2.1367521367521363</v>
      </c>
      <c r="BY123" s="13">
        <f>IF('Données projet'!$A$114&gt;35,BY122+BX123-CG122,IF(A123&lt;'Données projet'!$A$114,$BV$205^A123,IF(A123='Données projet'!$A$114,'Données projet'!$B$114,BY122+BX123-CG122)))</f>
        <v>244.01709401709397</v>
      </c>
      <c r="BZ123" s="14">
        <f>BY123*VLOOKUP('Données projet'!$B$12,Paramètres!$A$1:$I$89,3,0)*VLOOKUP('Données projet'!$B$12,Paramètres!$A$1:$I$89,5,0)</f>
        <v>262.65999999999997</v>
      </c>
      <c r="CA123" s="14">
        <f t="shared" si="93"/>
        <v>63.289046129644561</v>
      </c>
      <c r="CB123" s="22">
        <f t="shared" si="64"/>
        <v>567.6945886757976</v>
      </c>
      <c r="CC123" s="62">
        <f t="shared" si="65"/>
        <v>847.58115306167065</v>
      </c>
      <c r="CD123" s="62">
        <f ca="1">AVERAGE(OFFSET($CC$3,0,0,'Données projet'!$E$12+1,1))-AVERAGE(OFFSET($H$3,0,0,'Données projet'!$E$12+1,1))</f>
        <v>441.30518831297212</v>
      </c>
      <c r="CE123" s="62">
        <f t="shared" si="94"/>
        <v>270.42872405271851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66.332699377965355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-1.1368683772161603E-13</v>
      </c>
      <c r="CU123" s="18">
        <f>CT123*VLOOKUP('Données projet'!$B$13,Paramètres!$A$1:$I$89,3,0)*VLOOKUP('Données projet'!$B$13,Paramètres!$A$1:$I$89,5,0)</f>
        <v>-9.9316821433603781E-14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310.81258463659196</v>
      </c>
      <c r="CZ123" s="62">
        <f t="shared" si="96"/>
        <v>287.31099756692083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66.332699377965355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2.1367521367521363</v>
      </c>
      <c r="DO123" s="13">
        <f>IF('Données projet'!$A$166&gt;35,DO122+DN123-DW122,IF(A123&lt;'Données projet'!$A$166,$DL$205^A123,IF(A123='Données projet'!$A$166,'Données projet'!$B$166,DO122+DN123-DW122)))</f>
        <v>244.01709401709397</v>
      </c>
      <c r="DP123" s="18">
        <f>DO123*VLOOKUP('Données projet'!$B$14,Paramètres!$A$1:$I$89,3,0)*VLOOKUP('Données projet'!$B$14,Paramètres!$A$1:$I$89,5,0)</f>
        <v>255.04666666666665</v>
      </c>
      <c r="DQ123" s="14">
        <f t="shared" si="97"/>
        <v>61.665348362879705</v>
      </c>
      <c r="DR123" s="22">
        <f t="shared" si="70"/>
        <v>551.60675950979328</v>
      </c>
      <c r="DS123" s="62">
        <f t="shared" si="71"/>
        <v>831.49332389566621</v>
      </c>
      <c r="DT123" s="62">
        <f ca="1">AVERAGE(OFFSET($DS$3,0,0,'Données projet'!$E$14+1,1))-AVERAGE(OFFSET($H$3,0,0,'Données projet'!$E$14+1,1))</f>
        <v>431.19274104373625</v>
      </c>
      <c r="DU123" s="62">
        <f t="shared" si="98"/>
        <v>264.67919175178133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66.332699377965355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-6.2527760746888816E-13</v>
      </c>
      <c r="EK123" s="18">
        <f>EJ123*VLOOKUP('Données projet'!$B$15,Paramètres!$A$1:$I$89,3,0)*VLOOKUP('Données projet'!$B$15,Paramètres!$A$1:$I$89,5,0)</f>
        <v>-2.9262992029543964E-13</v>
      </c>
      <c r="EL123" s="14" t="e">
        <f t="shared" si="99"/>
        <v>#NUM!</v>
      </c>
      <c r="EM123" s="22" t="e">
        <f t="shared" si="73"/>
        <v>#NUM!</v>
      </c>
      <c r="EN123" s="62" t="e">
        <f t="shared" si="74"/>
        <v>#NUM!</v>
      </c>
      <c r="EO123" s="62">
        <f ca="1">AVERAGE(OFFSET($EN$3,0,0,'Données projet'!$E$15+1,1))-AVERAGE(OFFSET($H$3,0,0,'Données projet'!$E$15+1,1))</f>
        <v>291.68530745507815</v>
      </c>
      <c r="EP123" s="62">
        <f t="shared" si="100"/>
        <v>175.95121106728979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0</v>
      </c>
      <c r="EZ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66.332699377965355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-1.1368683772161603E-13</v>
      </c>
      <c r="FF123" s="18">
        <f>FE123*VLOOKUP('Données projet'!$B$16,Paramètres!$A$1:$I$89,3,0)*VLOOKUP('Données projet'!$B$16,Paramètres!$A$1:$I$89,5,0)</f>
        <v>-7.4487616075202823E-14</v>
      </c>
      <c r="FG123" s="14" t="e">
        <f t="shared" si="101"/>
        <v>#NUM!</v>
      </c>
      <c r="FH123" s="22" t="e">
        <f t="shared" si="76"/>
        <v>#NUM!</v>
      </c>
      <c r="FI123" s="62" t="e">
        <f t="shared" si="77"/>
        <v>#NUM!</v>
      </c>
      <c r="FJ123" s="62">
        <f ca="1">AVERAGE(OFFSET($FI$3,0,0,'Données projet'!$E$16+1,1))-AVERAGE(OFFSET($H$3,0,0,'Données projet'!$E$16+1,1))</f>
        <v>248.75689726928428</v>
      </c>
      <c r="FK123" s="62">
        <f t="shared" si="102"/>
        <v>232.02291680388336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projet'!$B$16,Paramètres!$A$1:$I$89,3,0)*0.475*44/12</f>
        <v>0</v>
      </c>
      <c r="FR123" s="23">
        <f>EXP(-LN(2)/25)*FR122+(1-EXP(-LN(2)/25))/(LN(2)/25)*Calculateur!FM123*Calculateur!FO123*VLOOKUP('Données projet'!$B$16,Paramètres!$A$1:$I$89,3,0)*0.475*44/12</f>
        <v>0</v>
      </c>
      <c r="FS123" s="23">
        <f>EXP(-LN(2)/2)*FS122+(1-EXP(-LN(2)/2))/(LN(2)/2)*FM123*FP123*VLOOKUP('Données projet'!$B$16,Paramètres!$A$1:$I$89,3,0)*0.475*44/12</f>
        <v>0</v>
      </c>
      <c r="FT123" s="24">
        <f t="shared" si="78"/>
        <v>0</v>
      </c>
      <c r="FU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66.332699377965355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5.1159076974727213E-13</v>
      </c>
      <c r="GA123" s="18">
        <f>FZ123*VLOOKUP('Données projet'!$B$17,Paramètres!$A$1:$I$89,3,0)*VLOOKUP('Données projet'!$B$17,Paramètres!$A$1:$I$89,5,0)</f>
        <v>3.0593128030886877E-13</v>
      </c>
      <c r="GB123" s="14">
        <f t="shared" si="103"/>
        <v>4.0350537939347394E-12</v>
      </c>
      <c r="GC123" s="22">
        <f t="shared" si="79"/>
        <v>7.5605490043076185E-12</v>
      </c>
      <c r="GD123" s="62">
        <f t="shared" si="80"/>
        <v>279.88656438588055</v>
      </c>
      <c r="GE123" s="62">
        <f ca="1">AVERAGE(OFFSET($GD$3,0,0,'Données projet'!$E$17+1,1))-AVERAGE(OFFSET($H$3,0,0,'Données projet'!$E$17+1,1))</f>
        <v>315.909549580511</v>
      </c>
      <c r="GF123" s="62">
        <f t="shared" si="104"/>
        <v>208.56856525402051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projet'!$B$17,Paramètres!$A$1:$I$89,3,0)*0.475*44/12</f>
        <v>0</v>
      </c>
      <c r="GM123" s="23">
        <f>EXP(-LN(2)/25)*GM122+(1-EXP(-LN(2)/25))/(LN(2)/25)*Calculateur!GH123*Calculateur!GJ123*VLOOKUP('Données projet'!$B$17,Paramètres!$A$1:$I$89,3,0)*0.475*44/12</f>
        <v>0</v>
      </c>
      <c r="GN123" s="23">
        <f>EXP(-LN(2)/2)*GN122+(1-EXP(-LN(2)/2))/(LN(2)/2)*GH123*GK123*VLOOKUP('Données projet'!$B$17,Paramètres!$A$1:$I$89,3,0)*0.475*44/12</f>
        <v>0</v>
      </c>
      <c r="GO123" s="23">
        <f t="shared" si="81"/>
        <v>0</v>
      </c>
      <c r="GP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66.332699377965355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1.1368683772161603E-13</v>
      </c>
      <c r="GV123" s="18">
        <f>GU123*VLOOKUP('Données projet'!$B$18,Paramètres!$A$1:$I$89,3,0)*VLOOKUP('Données projet'!$B$18,Paramètres!$A$1:$I$89,5,0)</f>
        <v>7.626113074366004E-14</v>
      </c>
      <c r="GW123" s="14">
        <f t="shared" si="105"/>
        <v>1.1823749172251317E-12</v>
      </c>
      <c r="GX123" s="22">
        <f t="shared" si="82"/>
        <v>2.1921244502123119E-12</v>
      </c>
      <c r="GY123" s="62">
        <f t="shared" si="83"/>
        <v>279.8865643858752</v>
      </c>
      <c r="GZ123" s="62">
        <f ca="1">AVERAGE(OFFSET($GY$3,0,0,'Données projet'!$E$18+1,1))-AVERAGE(OFFSET($H$3,0,0,'Données projet'!$E$18+1,1))</f>
        <v>254.35742752782755</v>
      </c>
      <c r="HA123" s="62">
        <f t="shared" si="106"/>
        <v>171.79611712137395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>
        <f>EXP(-LN(2)/35)*HG122+(1-EXP(-LN(2)/35))/(LN(2)/35)*HC123*HD123*VLOOKUP('Données projet'!$B$18,Paramètres!$A$1:$I$89,3,0)*0.475*44/12</f>
        <v>0</v>
      </c>
      <c r="HH123" s="23">
        <f>EXP(-LN(2)/25)*HH122+(1-EXP(-LN(2)/25))/(LN(2)/25)*Calculateur!HC123*Calculateur!HE123*VLOOKUP('Données projet'!$B$18,Paramètres!$A$1:$I$89,3,0)*0.475*44/12</f>
        <v>0</v>
      </c>
      <c r="HI123" s="23">
        <f>EXP(-LN(2)/2)*HI122+(1-EXP(-LN(2)/2))/(LN(2)/2)*HC123*HF123*VLOOKUP('Données projet'!$B$18,Paramètres!$A$1:$I$89,3,0)*0.475*44/12</f>
        <v>0</v>
      </c>
      <c r="HJ123" s="24">
        <f t="shared" si="84"/>
        <v>0</v>
      </c>
    </row>
    <row r="124" spans="1:218" s="5" customFormat="1" x14ac:dyDescent="0.3">
      <c r="A124" s="11">
        <f t="shared" si="85"/>
        <v>121</v>
      </c>
      <c r="B124" s="76">
        <f>'Scénario référence'!$B$16*5+'Scénario référence'!$B$17*0+'Scénario référence'!$B$18*5</f>
        <v>3.9405000000000001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14.448500000000001</v>
      </c>
      <c r="H124" s="69">
        <f t="shared" si="56"/>
        <v>161.30656666666667</v>
      </c>
      <c r="I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66.396318844901742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210.54472399593521</v>
      </c>
      <c r="T124" s="62">
        <f t="shared" si="88"/>
        <v>181.14158435194193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66.396318844901742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289.05608923588198</v>
      </c>
      <c r="AO124" s="62">
        <f t="shared" si="90"/>
        <v>220.06639020312738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66.396318844901742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1.2474999999999994</v>
      </c>
      <c r="BD124" s="13">
        <f>IF('Données projet'!$A$88&gt;35,BD123+BC124-BL123,IF(A124&lt;'Données projet'!$A$88,$BA$205^A124,IF(A124='Données projet'!$A$88,'Données projet'!$B$88,BD123+BC124-BL123)))</f>
        <v>113.01416666666663</v>
      </c>
      <c r="BE124" s="14">
        <f>BD124*VLOOKUP('Données projet'!$B$11,Paramètres!$A$1:$I$89,3,0)*VLOOKUP('Données projet'!$B$11,Paramètres!$A$1:$I$89,5,0)</f>
        <v>130.19231999999994</v>
      </c>
      <c r="BF124" s="14">
        <f t="shared" si="91"/>
        <v>34.040795013550785</v>
      </c>
      <c r="BG124" s="22">
        <f t="shared" si="61"/>
        <v>286.03934198193417</v>
      </c>
      <c r="BH124" s="62">
        <f t="shared" si="62"/>
        <v>566.15917774657396</v>
      </c>
      <c r="BI124" s="62">
        <f ca="1">AVERAGE(OFFSET($BH$3,0,0,'Données projet'!$E$11+1,1))-AVERAGE(OFFSET($H$3,0,0,'Données projet'!$E$11+1,1))</f>
        <v>299.54950406029354</v>
      </c>
      <c r="BJ124" s="62">
        <f t="shared" si="92"/>
        <v>208.26364698165739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66.396318844901742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2.1367521367521363</v>
      </c>
      <c r="BY124" s="13">
        <f>IF('Données projet'!$A$114&gt;35,BY123+BX124-CG123,IF(A124&lt;'Données projet'!$A$114,$BV$205^A124,IF(A124='Données projet'!$A$114,'Données projet'!$B$114,BY123+BX124-CG123)))</f>
        <v>246.1538461538461</v>
      </c>
      <c r="BZ124" s="14">
        <f>BY124*VLOOKUP('Données projet'!$B$12,Paramètres!$A$1:$I$89,3,0)*VLOOKUP('Données projet'!$B$12,Paramètres!$A$1:$I$89,5,0)</f>
        <v>264.95999999999998</v>
      </c>
      <c r="CA124" s="14">
        <f t="shared" si="93"/>
        <v>63.778483904128457</v>
      </c>
      <c r="CB124" s="22">
        <f t="shared" si="64"/>
        <v>572.55285946635706</v>
      </c>
      <c r="CC124" s="62">
        <f t="shared" si="65"/>
        <v>852.67269523099685</v>
      </c>
      <c r="CD124" s="62">
        <f ca="1">AVERAGE(OFFSET($CC$3,0,0,'Données projet'!$E$12+1,1))-AVERAGE(OFFSET($H$3,0,0,'Données projet'!$E$12+1,1))</f>
        <v>441.30518831297212</v>
      </c>
      <c r="CE124" s="62">
        <f t="shared" si="94"/>
        <v>270.42872405271851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66.396318844901742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-1.1368683772161603E-13</v>
      </c>
      <c r="CU124" s="18">
        <f>CT124*VLOOKUP('Données projet'!$B$13,Paramètres!$A$1:$I$89,3,0)*VLOOKUP('Données projet'!$B$13,Paramètres!$A$1:$I$89,5,0)</f>
        <v>-9.9316821433603781E-14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310.81258463659196</v>
      </c>
      <c r="CZ124" s="62">
        <f t="shared" si="96"/>
        <v>287.31099756692083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66.396318844901742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2.1367521367521363</v>
      </c>
      <c r="DO124" s="13">
        <f>IF('Données projet'!$A$166&gt;35,DO123+DN124-DW123,IF(A124&lt;'Données projet'!$A$166,$DL$205^A124,IF(A124='Données projet'!$A$166,'Données projet'!$B$166,DO123+DN124-DW123)))</f>
        <v>246.1538461538461</v>
      </c>
      <c r="DP124" s="18">
        <f>DO124*VLOOKUP('Données projet'!$B$14,Paramètres!$A$1:$I$89,3,0)*VLOOKUP('Données projet'!$B$14,Paramètres!$A$1:$I$89,5,0)</f>
        <v>257.27999999999997</v>
      </c>
      <c r="DQ124" s="14">
        <f t="shared" si="97"/>
        <v>62.142229477562339</v>
      </c>
      <c r="DR124" s="22">
        <f t="shared" si="70"/>
        <v>556.32704967342102</v>
      </c>
      <c r="DS124" s="62">
        <f t="shared" si="71"/>
        <v>836.44688543806069</v>
      </c>
      <c r="DT124" s="62">
        <f ca="1">AVERAGE(OFFSET($DS$3,0,0,'Données projet'!$E$14+1,1))-AVERAGE(OFFSET($H$3,0,0,'Données projet'!$E$14+1,1))</f>
        <v>431.19274104373625</v>
      </c>
      <c r="DU124" s="62">
        <f t="shared" si="98"/>
        <v>264.67919175178133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66.396318844901742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-6.2527760746888816E-13</v>
      </c>
      <c r="EK124" s="18">
        <f>EJ124*VLOOKUP('Données projet'!$B$15,Paramètres!$A$1:$I$89,3,0)*VLOOKUP('Données projet'!$B$15,Paramètres!$A$1:$I$89,5,0)</f>
        <v>-2.9262992029543964E-13</v>
      </c>
      <c r="EL124" s="14" t="e">
        <f t="shared" si="99"/>
        <v>#NUM!</v>
      </c>
      <c r="EM124" s="22" t="e">
        <f t="shared" si="73"/>
        <v>#NUM!</v>
      </c>
      <c r="EN124" s="62" t="e">
        <f t="shared" si="74"/>
        <v>#NUM!</v>
      </c>
      <c r="EO124" s="62">
        <f ca="1">AVERAGE(OFFSET($EN$3,0,0,'Données projet'!$E$15+1,1))-AVERAGE(OFFSET($H$3,0,0,'Données projet'!$E$15+1,1))</f>
        <v>291.68530745507815</v>
      </c>
      <c r="EP124" s="62">
        <f t="shared" si="100"/>
        <v>175.95121106728979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0</v>
      </c>
      <c r="EZ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66.396318844901742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-1.1368683772161603E-13</v>
      </c>
      <c r="FF124" s="18">
        <f>FE124*VLOOKUP('Données projet'!$B$16,Paramètres!$A$1:$I$89,3,0)*VLOOKUP('Données projet'!$B$16,Paramètres!$A$1:$I$89,5,0)</f>
        <v>-7.4487616075202823E-14</v>
      </c>
      <c r="FG124" s="14" t="e">
        <f t="shared" si="101"/>
        <v>#NUM!</v>
      </c>
      <c r="FH124" s="22" t="e">
        <f t="shared" si="76"/>
        <v>#NUM!</v>
      </c>
      <c r="FI124" s="62" t="e">
        <f t="shared" si="77"/>
        <v>#NUM!</v>
      </c>
      <c r="FJ124" s="62">
        <f ca="1">AVERAGE(OFFSET($FI$3,0,0,'Données projet'!$E$16+1,1))-AVERAGE(OFFSET($H$3,0,0,'Données projet'!$E$16+1,1))</f>
        <v>248.75689726928428</v>
      </c>
      <c r="FK124" s="62">
        <f t="shared" si="102"/>
        <v>232.02291680388336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projet'!$B$16,Paramètres!$A$1:$I$89,3,0)*0.475*44/12</f>
        <v>0</v>
      </c>
      <c r="FR124" s="23">
        <f>EXP(-LN(2)/25)*FR123+(1-EXP(-LN(2)/25))/(LN(2)/25)*Calculateur!FM124*Calculateur!FO124*VLOOKUP('Données projet'!$B$16,Paramètres!$A$1:$I$89,3,0)*0.475*44/12</f>
        <v>0</v>
      </c>
      <c r="FS124" s="23">
        <f>EXP(-LN(2)/2)*FS123+(1-EXP(-LN(2)/2))/(LN(2)/2)*FM124*FP124*VLOOKUP('Données projet'!$B$16,Paramètres!$A$1:$I$89,3,0)*0.475*44/12</f>
        <v>0</v>
      </c>
      <c r="FT124" s="24">
        <f t="shared" si="78"/>
        <v>0</v>
      </c>
      <c r="FU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66.396318844901742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5.1159076974727213E-13</v>
      </c>
      <c r="GA124" s="18">
        <f>FZ124*VLOOKUP('Données projet'!$B$17,Paramètres!$A$1:$I$89,3,0)*VLOOKUP('Données projet'!$B$17,Paramètres!$A$1:$I$89,5,0)</f>
        <v>3.0593128030886877E-13</v>
      </c>
      <c r="GB124" s="14">
        <f t="shared" si="103"/>
        <v>4.0350537939347394E-12</v>
      </c>
      <c r="GC124" s="22">
        <f t="shared" si="79"/>
        <v>7.5605490043076185E-12</v>
      </c>
      <c r="GD124" s="62">
        <f t="shared" si="80"/>
        <v>280.11983576464729</v>
      </c>
      <c r="GE124" s="62">
        <f ca="1">AVERAGE(OFFSET($GD$3,0,0,'Données projet'!$E$17+1,1))-AVERAGE(OFFSET($H$3,0,0,'Données projet'!$E$17+1,1))</f>
        <v>315.909549580511</v>
      </c>
      <c r="GF124" s="62">
        <f t="shared" si="104"/>
        <v>208.56856525402051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projet'!$B$17,Paramètres!$A$1:$I$89,3,0)*0.475*44/12</f>
        <v>0</v>
      </c>
      <c r="GM124" s="23">
        <f>EXP(-LN(2)/25)*GM123+(1-EXP(-LN(2)/25))/(LN(2)/25)*Calculateur!GH124*Calculateur!GJ124*VLOOKUP('Données projet'!$B$17,Paramètres!$A$1:$I$89,3,0)*0.475*44/12</f>
        <v>0</v>
      </c>
      <c r="GN124" s="23">
        <f>EXP(-LN(2)/2)*GN123+(1-EXP(-LN(2)/2))/(LN(2)/2)*GH124*GK124*VLOOKUP('Données projet'!$B$17,Paramètres!$A$1:$I$89,3,0)*0.475*44/12</f>
        <v>0</v>
      </c>
      <c r="GO124" s="23">
        <f t="shared" si="81"/>
        <v>0</v>
      </c>
      <c r="GP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66.396318844901742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1.1368683772161603E-13</v>
      </c>
      <c r="GV124" s="18">
        <f>GU124*VLOOKUP('Données projet'!$B$18,Paramètres!$A$1:$I$89,3,0)*VLOOKUP('Données projet'!$B$18,Paramètres!$A$1:$I$89,5,0)</f>
        <v>7.626113074366004E-14</v>
      </c>
      <c r="GW124" s="14">
        <f t="shared" si="105"/>
        <v>1.1823749172251317E-12</v>
      </c>
      <c r="GX124" s="22">
        <f t="shared" si="82"/>
        <v>2.1921244502123119E-12</v>
      </c>
      <c r="GY124" s="62">
        <f t="shared" si="83"/>
        <v>280.11983576464195</v>
      </c>
      <c r="GZ124" s="62">
        <f ca="1">AVERAGE(OFFSET($GY$3,0,0,'Données projet'!$E$18+1,1))-AVERAGE(OFFSET($H$3,0,0,'Données projet'!$E$18+1,1))</f>
        <v>254.35742752782755</v>
      </c>
      <c r="HA124" s="62">
        <f t="shared" si="106"/>
        <v>171.79611712137395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>
        <f>EXP(-LN(2)/35)*HG123+(1-EXP(-LN(2)/35))/(LN(2)/35)*HC124*HD124*VLOOKUP('Données projet'!$B$18,Paramètres!$A$1:$I$89,3,0)*0.475*44/12</f>
        <v>0</v>
      </c>
      <c r="HH124" s="23">
        <f>EXP(-LN(2)/25)*HH123+(1-EXP(-LN(2)/25))/(LN(2)/25)*Calculateur!HC124*Calculateur!HE124*VLOOKUP('Données projet'!$B$18,Paramètres!$A$1:$I$89,3,0)*0.475*44/12</f>
        <v>0</v>
      </c>
      <c r="HI124" s="23">
        <f>EXP(-LN(2)/2)*HI123+(1-EXP(-LN(2)/2))/(LN(2)/2)*HC124*HF124*VLOOKUP('Données projet'!$B$18,Paramètres!$A$1:$I$89,3,0)*0.475*44/12</f>
        <v>0</v>
      </c>
      <c r="HJ124" s="24">
        <f t="shared" si="84"/>
        <v>0</v>
      </c>
    </row>
    <row r="125" spans="1:218" s="5" customFormat="1" x14ac:dyDescent="0.3">
      <c r="A125" s="11">
        <f t="shared" si="85"/>
        <v>122</v>
      </c>
      <c r="B125" s="76">
        <f>'Scénario référence'!$B$16*5+'Scénario référence'!$B$17*0+'Scénario référence'!$B$18*5</f>
        <v>3.9405000000000001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14.448500000000001</v>
      </c>
      <c r="H125" s="69">
        <f t="shared" si="56"/>
        <v>161.30656666666667</v>
      </c>
      <c r="I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66.458834656318601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210.54472399593521</v>
      </c>
      <c r="T125" s="62">
        <f t="shared" si="88"/>
        <v>181.14158435194193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66.458834656318601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289.05608923588198</v>
      </c>
      <c r="AO125" s="62">
        <f t="shared" si="90"/>
        <v>220.06639020312738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66.458834656318601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1.2474999999999994</v>
      </c>
      <c r="BD125" s="13">
        <f>IF('Données projet'!$A$88&gt;35,BD124+BC125-BL124,IF(A125&lt;'Données projet'!$A$88,$BA$205^A125,IF(A125='Données projet'!$A$88,'Données projet'!$B$88,BD124+BC125-BL124)))</f>
        <v>114.26166666666663</v>
      </c>
      <c r="BE125" s="14">
        <f>BD125*VLOOKUP('Données projet'!$B$11,Paramètres!$A$1:$I$89,3,0)*VLOOKUP('Données projet'!$B$11,Paramètres!$A$1:$I$89,5,0)</f>
        <v>131.62943999999993</v>
      </c>
      <c r="BF125" s="14">
        <f t="shared" si="91"/>
        <v>34.372601683894764</v>
      </c>
      <c r="BG125" s="22">
        <f t="shared" si="61"/>
        <v>289.1202225994499</v>
      </c>
      <c r="BH125" s="62">
        <f t="shared" si="62"/>
        <v>569.46928300595141</v>
      </c>
      <c r="BI125" s="62">
        <f ca="1">AVERAGE(OFFSET($BH$3,0,0,'Données projet'!$E$11+1,1))-AVERAGE(OFFSET($H$3,0,0,'Données projet'!$E$11+1,1))</f>
        <v>299.54950406029354</v>
      </c>
      <c r="BJ125" s="62">
        <f t="shared" si="92"/>
        <v>208.26364698165739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66.458834656318601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2.1367521367521363</v>
      </c>
      <c r="BY125" s="13">
        <f>IF('Données projet'!$A$114&gt;35,BY124+BX125-CG124,IF(A125&lt;'Données projet'!$A$114,$BV$205^A125,IF(A125='Données projet'!$A$114,'Données projet'!$B$114,BY124+BX125-CG124)))</f>
        <v>248.29059829059824</v>
      </c>
      <c r="BZ125" s="14">
        <f>BY125*VLOOKUP('Données projet'!$B$12,Paramètres!$A$1:$I$89,3,0)*VLOOKUP('Données projet'!$B$12,Paramètres!$A$1:$I$89,5,0)</f>
        <v>267.25999999999993</v>
      </c>
      <c r="CA125" s="14">
        <f t="shared" si="93"/>
        <v>64.26742738572166</v>
      </c>
      <c r="CB125" s="22">
        <f t="shared" si="64"/>
        <v>577.41026936346509</v>
      </c>
      <c r="CC125" s="62">
        <f t="shared" si="65"/>
        <v>857.7593297699666</v>
      </c>
      <c r="CD125" s="62">
        <f ca="1">AVERAGE(OFFSET($CC$3,0,0,'Données projet'!$E$12+1,1))-AVERAGE(OFFSET($H$3,0,0,'Données projet'!$E$12+1,1))</f>
        <v>441.30518831297212</v>
      </c>
      <c r="CE125" s="62">
        <f t="shared" si="94"/>
        <v>270.42872405271851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66.458834656318601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-1.1368683772161603E-13</v>
      </c>
      <c r="CU125" s="18">
        <f>CT125*VLOOKUP('Données projet'!$B$13,Paramètres!$A$1:$I$89,3,0)*VLOOKUP('Données projet'!$B$13,Paramètres!$A$1:$I$89,5,0)</f>
        <v>-9.9316821433603781E-14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310.81258463659196</v>
      </c>
      <c r="CZ125" s="62">
        <f t="shared" si="96"/>
        <v>287.31099756692083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66.458834656318601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2.1367521367521363</v>
      </c>
      <c r="DO125" s="13">
        <f>IF('Données projet'!$A$166&gt;35,DO124+DN125-DW124,IF(A125&lt;'Données projet'!$A$166,$DL$205^A125,IF(A125='Données projet'!$A$166,'Données projet'!$B$166,DO124+DN125-DW124)))</f>
        <v>248.29059829059824</v>
      </c>
      <c r="DP125" s="18">
        <f>DO125*VLOOKUP('Données projet'!$B$14,Paramètres!$A$1:$I$89,3,0)*VLOOKUP('Données projet'!$B$14,Paramètres!$A$1:$I$89,5,0)</f>
        <v>259.51333333333332</v>
      </c>
      <c r="DQ125" s="14">
        <f t="shared" si="97"/>
        <v>62.618628980573305</v>
      </c>
      <c r="DR125" s="22">
        <f t="shared" si="70"/>
        <v>561.04650103005395</v>
      </c>
      <c r="DS125" s="62">
        <f t="shared" si="71"/>
        <v>841.39556143655545</v>
      </c>
      <c r="DT125" s="62">
        <f ca="1">AVERAGE(OFFSET($DS$3,0,0,'Données projet'!$E$14+1,1))-AVERAGE(OFFSET($H$3,0,0,'Données projet'!$E$14+1,1))</f>
        <v>431.19274104373625</v>
      </c>
      <c r="DU125" s="62">
        <f t="shared" si="98"/>
        <v>264.67919175178133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66.458834656318601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-6.2527760746888816E-13</v>
      </c>
      <c r="EK125" s="18">
        <f>EJ125*VLOOKUP('Données projet'!$B$15,Paramètres!$A$1:$I$89,3,0)*VLOOKUP('Données projet'!$B$15,Paramètres!$A$1:$I$89,5,0)</f>
        <v>-2.9262992029543964E-13</v>
      </c>
      <c r="EL125" s="14" t="e">
        <f t="shared" si="99"/>
        <v>#NUM!</v>
      </c>
      <c r="EM125" s="22" t="e">
        <f t="shared" si="73"/>
        <v>#NUM!</v>
      </c>
      <c r="EN125" s="62" t="e">
        <f t="shared" si="74"/>
        <v>#NUM!</v>
      </c>
      <c r="EO125" s="62">
        <f ca="1">AVERAGE(OFFSET($EN$3,0,0,'Données projet'!$E$15+1,1))-AVERAGE(OFFSET($H$3,0,0,'Données projet'!$E$15+1,1))</f>
        <v>291.68530745507815</v>
      </c>
      <c r="EP125" s="62">
        <f t="shared" si="100"/>
        <v>175.95121106728979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0</v>
      </c>
      <c r="EZ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66.458834656318601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-1.1368683772161603E-13</v>
      </c>
      <c r="FF125" s="18">
        <f>FE125*VLOOKUP('Données projet'!$B$16,Paramètres!$A$1:$I$89,3,0)*VLOOKUP('Données projet'!$B$16,Paramètres!$A$1:$I$89,5,0)</f>
        <v>-7.4487616075202823E-14</v>
      </c>
      <c r="FG125" s="14" t="e">
        <f t="shared" si="101"/>
        <v>#NUM!</v>
      </c>
      <c r="FH125" s="22" t="e">
        <f t="shared" si="76"/>
        <v>#NUM!</v>
      </c>
      <c r="FI125" s="62" t="e">
        <f t="shared" si="77"/>
        <v>#NUM!</v>
      </c>
      <c r="FJ125" s="62">
        <f ca="1">AVERAGE(OFFSET($FI$3,0,0,'Données projet'!$E$16+1,1))-AVERAGE(OFFSET($H$3,0,0,'Données projet'!$E$16+1,1))</f>
        <v>248.75689726928428</v>
      </c>
      <c r="FK125" s="62">
        <f t="shared" si="102"/>
        <v>232.02291680388336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projet'!$B$16,Paramètres!$A$1:$I$89,3,0)*0.475*44/12</f>
        <v>0</v>
      </c>
      <c r="FR125" s="23">
        <f>EXP(-LN(2)/25)*FR124+(1-EXP(-LN(2)/25))/(LN(2)/25)*Calculateur!FM125*Calculateur!FO125*VLOOKUP('Données projet'!$B$16,Paramètres!$A$1:$I$89,3,0)*0.475*44/12</f>
        <v>0</v>
      </c>
      <c r="FS125" s="23">
        <f>EXP(-LN(2)/2)*FS124+(1-EXP(-LN(2)/2))/(LN(2)/2)*FM125*FP125*VLOOKUP('Données projet'!$B$16,Paramètres!$A$1:$I$89,3,0)*0.475*44/12</f>
        <v>0</v>
      </c>
      <c r="FT125" s="24">
        <f t="shared" si="78"/>
        <v>0</v>
      </c>
      <c r="FU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66.458834656318601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5.1159076974727213E-13</v>
      </c>
      <c r="GA125" s="18">
        <f>FZ125*VLOOKUP('Données projet'!$B$17,Paramètres!$A$1:$I$89,3,0)*VLOOKUP('Données projet'!$B$17,Paramètres!$A$1:$I$89,5,0)</f>
        <v>3.0593128030886877E-13</v>
      </c>
      <c r="GB125" s="14">
        <f t="shared" si="103"/>
        <v>4.0350537939347394E-12</v>
      </c>
      <c r="GC125" s="22">
        <f t="shared" si="79"/>
        <v>7.5605490043076185E-12</v>
      </c>
      <c r="GD125" s="62">
        <f t="shared" si="80"/>
        <v>280.34906040650912</v>
      </c>
      <c r="GE125" s="62">
        <f ca="1">AVERAGE(OFFSET($GD$3,0,0,'Données projet'!$E$17+1,1))-AVERAGE(OFFSET($H$3,0,0,'Données projet'!$E$17+1,1))</f>
        <v>315.909549580511</v>
      </c>
      <c r="GF125" s="62">
        <f t="shared" si="104"/>
        <v>208.56856525402051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projet'!$B$17,Paramètres!$A$1:$I$89,3,0)*0.475*44/12</f>
        <v>0</v>
      </c>
      <c r="GM125" s="23">
        <f>EXP(-LN(2)/25)*GM124+(1-EXP(-LN(2)/25))/(LN(2)/25)*Calculateur!GH125*Calculateur!GJ125*VLOOKUP('Données projet'!$B$17,Paramètres!$A$1:$I$89,3,0)*0.475*44/12</f>
        <v>0</v>
      </c>
      <c r="GN125" s="23">
        <f>EXP(-LN(2)/2)*GN124+(1-EXP(-LN(2)/2))/(LN(2)/2)*GH125*GK125*VLOOKUP('Données projet'!$B$17,Paramètres!$A$1:$I$89,3,0)*0.475*44/12</f>
        <v>0</v>
      </c>
      <c r="GO125" s="23">
        <f t="shared" si="81"/>
        <v>0</v>
      </c>
      <c r="GP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66.458834656318601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1.1368683772161603E-13</v>
      </c>
      <c r="GV125" s="18">
        <f>GU125*VLOOKUP('Données projet'!$B$18,Paramètres!$A$1:$I$89,3,0)*VLOOKUP('Données projet'!$B$18,Paramètres!$A$1:$I$89,5,0)</f>
        <v>7.626113074366004E-14</v>
      </c>
      <c r="GW125" s="14">
        <f t="shared" si="105"/>
        <v>1.1823749172251317E-12</v>
      </c>
      <c r="GX125" s="22">
        <f t="shared" si="82"/>
        <v>2.1921244502123119E-12</v>
      </c>
      <c r="GY125" s="62">
        <f t="shared" si="83"/>
        <v>280.34906040650378</v>
      </c>
      <c r="GZ125" s="62">
        <f ca="1">AVERAGE(OFFSET($GY$3,0,0,'Données projet'!$E$18+1,1))-AVERAGE(OFFSET($H$3,0,0,'Données projet'!$E$18+1,1))</f>
        <v>254.35742752782755</v>
      </c>
      <c r="HA125" s="62">
        <f t="shared" si="106"/>
        <v>171.79611712137395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>
        <f>EXP(-LN(2)/35)*HG124+(1-EXP(-LN(2)/35))/(LN(2)/35)*HC125*HD125*VLOOKUP('Données projet'!$B$18,Paramètres!$A$1:$I$89,3,0)*0.475*44/12</f>
        <v>0</v>
      </c>
      <c r="HH125" s="23">
        <f>EXP(-LN(2)/25)*HH124+(1-EXP(-LN(2)/25))/(LN(2)/25)*Calculateur!HC125*Calculateur!HE125*VLOOKUP('Données projet'!$B$18,Paramètres!$A$1:$I$89,3,0)*0.475*44/12</f>
        <v>0</v>
      </c>
      <c r="HI125" s="23">
        <f>EXP(-LN(2)/2)*HI124+(1-EXP(-LN(2)/2))/(LN(2)/2)*HC125*HF125*VLOOKUP('Données projet'!$B$18,Paramètres!$A$1:$I$89,3,0)*0.475*44/12</f>
        <v>0</v>
      </c>
      <c r="HJ125" s="24">
        <f t="shared" si="84"/>
        <v>0</v>
      </c>
    </row>
    <row r="126" spans="1:218" s="5" customFormat="1" x14ac:dyDescent="0.3">
      <c r="A126" s="11">
        <f t="shared" si="85"/>
        <v>123</v>
      </c>
      <c r="B126" s="76">
        <f>'Scénario référence'!$B$16*5+'Scénario référence'!$B$17*0+'Scénario référence'!$B$18*5</f>
        <v>3.9405000000000001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14.448500000000001</v>
      </c>
      <c r="H126" s="69">
        <f t="shared" si="56"/>
        <v>161.30656666666667</v>
      </c>
      <c r="I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66.520265958171805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210.54472399593521</v>
      </c>
      <c r="T126" s="62">
        <f t="shared" si="88"/>
        <v>181.14158435194193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66.520265958171805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289.05608923588198</v>
      </c>
      <c r="AO126" s="62">
        <f t="shared" si="90"/>
        <v>220.06639020312738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66.520265958171805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1.2474999999999994</v>
      </c>
      <c r="BD126" s="13">
        <f>IF('Données projet'!$A$88&gt;35,BD125+BC126-BL125,IF(A126&lt;'Données projet'!$A$88,$BA$205^A126,IF(A126='Données projet'!$A$88,'Données projet'!$B$88,BD125+BC126-BL125)))</f>
        <v>115.50916666666663</v>
      </c>
      <c r="BE126" s="14">
        <f>BD126*VLOOKUP('Données projet'!$B$11,Paramètres!$A$1:$I$89,3,0)*VLOOKUP('Données projet'!$B$11,Paramètres!$A$1:$I$89,5,0)</f>
        <v>133.06655999999995</v>
      </c>
      <c r="BF126" s="14">
        <f t="shared" si="91"/>
        <v>34.703986937981455</v>
      </c>
      <c r="BG126" s="22">
        <f t="shared" si="61"/>
        <v>292.20036925031758</v>
      </c>
      <c r="BH126" s="62">
        <f t="shared" si="62"/>
        <v>572.77467776361414</v>
      </c>
      <c r="BI126" s="62">
        <f ca="1">AVERAGE(OFFSET($BH$3,0,0,'Données projet'!$E$11+1,1))-AVERAGE(OFFSET($H$3,0,0,'Données projet'!$E$11+1,1))</f>
        <v>299.54950406029354</v>
      </c>
      <c r="BJ126" s="62">
        <f t="shared" si="92"/>
        <v>208.26364698165739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66.520265958171805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2.1367521367521363</v>
      </c>
      <c r="BY126" s="13">
        <f>IF('Données projet'!$A$114&gt;35,BY125+BX126-CG125,IF(A126&lt;'Données projet'!$A$114,$BV$205^A126,IF(A126='Données projet'!$A$114,'Données projet'!$B$114,BY125+BX126-CG125)))</f>
        <v>250.42735042735038</v>
      </c>
      <c r="BZ126" s="14">
        <f>BY126*VLOOKUP('Données projet'!$B$12,Paramètres!$A$1:$I$89,3,0)*VLOOKUP('Données projet'!$B$12,Paramètres!$A$1:$I$89,5,0)</f>
        <v>269.55999999999995</v>
      </c>
      <c r="CA126" s="14">
        <f t="shared" si="93"/>
        <v>64.755881321119006</v>
      </c>
      <c r="CB126" s="22">
        <f t="shared" si="64"/>
        <v>582.26682663428221</v>
      </c>
      <c r="CC126" s="62">
        <f t="shared" si="65"/>
        <v>862.84113514757883</v>
      </c>
      <c r="CD126" s="62">
        <f ca="1">AVERAGE(OFFSET($CC$3,0,0,'Données projet'!$E$12+1,1))-AVERAGE(OFFSET($H$3,0,0,'Données projet'!$E$12+1,1))</f>
        <v>441.30518831297212</v>
      </c>
      <c r="CE126" s="62">
        <f t="shared" si="94"/>
        <v>270.42872405271851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66.520265958171805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-1.1368683772161603E-13</v>
      </c>
      <c r="CU126" s="18">
        <f>CT126*VLOOKUP('Données projet'!$B$13,Paramètres!$A$1:$I$89,3,0)*VLOOKUP('Données projet'!$B$13,Paramètres!$A$1:$I$89,5,0)</f>
        <v>-9.9316821433603781E-14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310.81258463659196</v>
      </c>
      <c r="CZ126" s="62">
        <f t="shared" si="96"/>
        <v>287.31099756692083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66.520265958171805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2.1367521367521363</v>
      </c>
      <c r="DO126" s="13">
        <f>IF('Données projet'!$A$166&gt;35,DO125+DN126-DW125,IF(A126&lt;'Données projet'!$A$166,$DL$205^A126,IF(A126='Données projet'!$A$166,'Données projet'!$B$166,DO125+DN126-DW125)))</f>
        <v>250.42735042735038</v>
      </c>
      <c r="DP126" s="18">
        <f>DO126*VLOOKUP('Données projet'!$B$14,Paramètres!$A$1:$I$89,3,0)*VLOOKUP('Données projet'!$B$14,Paramètres!$A$1:$I$89,5,0)</f>
        <v>261.74666666666667</v>
      </c>
      <c r="DQ126" s="14">
        <f t="shared" si="97"/>
        <v>63.094551496829851</v>
      </c>
      <c r="DR126" s="22">
        <f t="shared" si="70"/>
        <v>565.76512163475638</v>
      </c>
      <c r="DS126" s="62">
        <f t="shared" si="71"/>
        <v>846.339430148053</v>
      </c>
      <c r="DT126" s="62">
        <f ca="1">AVERAGE(OFFSET($DS$3,0,0,'Données projet'!$E$14+1,1))-AVERAGE(OFFSET($H$3,0,0,'Données projet'!$E$14+1,1))</f>
        <v>431.19274104373625</v>
      </c>
      <c r="DU126" s="62">
        <f t="shared" si="98"/>
        <v>264.67919175178133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66.520265958171805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-6.2527760746888816E-13</v>
      </c>
      <c r="EK126" s="18">
        <f>EJ126*VLOOKUP('Données projet'!$B$15,Paramètres!$A$1:$I$89,3,0)*VLOOKUP('Données projet'!$B$15,Paramètres!$A$1:$I$89,5,0)</f>
        <v>-2.9262992029543964E-13</v>
      </c>
      <c r="EL126" s="14" t="e">
        <f t="shared" si="99"/>
        <v>#NUM!</v>
      </c>
      <c r="EM126" s="22" t="e">
        <f t="shared" si="73"/>
        <v>#NUM!</v>
      </c>
      <c r="EN126" s="62" t="e">
        <f t="shared" si="74"/>
        <v>#NUM!</v>
      </c>
      <c r="EO126" s="62">
        <f ca="1">AVERAGE(OFFSET($EN$3,0,0,'Données projet'!$E$15+1,1))-AVERAGE(OFFSET($H$3,0,0,'Données projet'!$E$15+1,1))</f>
        <v>291.68530745507815</v>
      </c>
      <c r="EP126" s="62">
        <f t="shared" si="100"/>
        <v>175.95121106728979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0</v>
      </c>
      <c r="EZ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66.520265958171805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-1.1368683772161603E-13</v>
      </c>
      <c r="FF126" s="18">
        <f>FE126*VLOOKUP('Données projet'!$B$16,Paramètres!$A$1:$I$89,3,0)*VLOOKUP('Données projet'!$B$16,Paramètres!$A$1:$I$89,5,0)</f>
        <v>-7.4487616075202823E-14</v>
      </c>
      <c r="FG126" s="14" t="e">
        <f t="shared" si="101"/>
        <v>#NUM!</v>
      </c>
      <c r="FH126" s="22" t="e">
        <f t="shared" si="76"/>
        <v>#NUM!</v>
      </c>
      <c r="FI126" s="62" t="e">
        <f t="shared" si="77"/>
        <v>#NUM!</v>
      </c>
      <c r="FJ126" s="62">
        <f ca="1">AVERAGE(OFFSET($FI$3,0,0,'Données projet'!$E$16+1,1))-AVERAGE(OFFSET($H$3,0,0,'Données projet'!$E$16+1,1))</f>
        <v>248.75689726928428</v>
      </c>
      <c r="FK126" s="62">
        <f t="shared" si="102"/>
        <v>232.02291680388336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projet'!$B$16,Paramètres!$A$1:$I$89,3,0)*0.475*44/12</f>
        <v>0</v>
      </c>
      <c r="FR126" s="23">
        <f>EXP(-LN(2)/25)*FR125+(1-EXP(-LN(2)/25))/(LN(2)/25)*Calculateur!FM126*Calculateur!FO126*VLOOKUP('Données projet'!$B$16,Paramètres!$A$1:$I$89,3,0)*0.475*44/12</f>
        <v>0</v>
      </c>
      <c r="FS126" s="23">
        <f>EXP(-LN(2)/2)*FS125+(1-EXP(-LN(2)/2))/(LN(2)/2)*FM126*FP126*VLOOKUP('Données projet'!$B$16,Paramètres!$A$1:$I$89,3,0)*0.475*44/12</f>
        <v>0</v>
      </c>
      <c r="FT126" s="24">
        <f t="shared" si="78"/>
        <v>0</v>
      </c>
      <c r="FU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66.520265958171805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5.1159076974727213E-13</v>
      </c>
      <c r="GA126" s="18">
        <f>FZ126*VLOOKUP('Données projet'!$B$17,Paramètres!$A$1:$I$89,3,0)*VLOOKUP('Données projet'!$B$17,Paramètres!$A$1:$I$89,5,0)</f>
        <v>3.0593128030886877E-13</v>
      </c>
      <c r="GB126" s="14">
        <f t="shared" si="103"/>
        <v>4.0350537939347394E-12</v>
      </c>
      <c r="GC126" s="22">
        <f t="shared" si="79"/>
        <v>7.5605490043076185E-12</v>
      </c>
      <c r="GD126" s="62">
        <f t="shared" si="80"/>
        <v>280.57430851330417</v>
      </c>
      <c r="GE126" s="62">
        <f ca="1">AVERAGE(OFFSET($GD$3,0,0,'Données projet'!$E$17+1,1))-AVERAGE(OFFSET($H$3,0,0,'Données projet'!$E$17+1,1))</f>
        <v>315.909549580511</v>
      </c>
      <c r="GF126" s="62">
        <f t="shared" si="104"/>
        <v>208.56856525402051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projet'!$B$17,Paramètres!$A$1:$I$89,3,0)*0.475*44/12</f>
        <v>0</v>
      </c>
      <c r="GM126" s="23">
        <f>EXP(-LN(2)/25)*GM125+(1-EXP(-LN(2)/25))/(LN(2)/25)*Calculateur!GH126*Calculateur!GJ126*VLOOKUP('Données projet'!$B$17,Paramètres!$A$1:$I$89,3,0)*0.475*44/12</f>
        <v>0</v>
      </c>
      <c r="GN126" s="23">
        <f>EXP(-LN(2)/2)*GN125+(1-EXP(-LN(2)/2))/(LN(2)/2)*GH126*GK126*VLOOKUP('Données projet'!$B$17,Paramètres!$A$1:$I$89,3,0)*0.475*44/12</f>
        <v>0</v>
      </c>
      <c r="GO126" s="23">
        <f t="shared" si="81"/>
        <v>0</v>
      </c>
      <c r="GP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66.520265958171805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1.1368683772161603E-13</v>
      </c>
      <c r="GV126" s="18">
        <f>GU126*VLOOKUP('Données projet'!$B$18,Paramètres!$A$1:$I$89,3,0)*VLOOKUP('Données projet'!$B$18,Paramètres!$A$1:$I$89,5,0)</f>
        <v>7.626113074366004E-14</v>
      </c>
      <c r="GW126" s="14">
        <f t="shared" si="105"/>
        <v>1.1823749172251317E-12</v>
      </c>
      <c r="GX126" s="22">
        <f t="shared" si="82"/>
        <v>2.1921244502123119E-12</v>
      </c>
      <c r="GY126" s="62">
        <f t="shared" si="83"/>
        <v>280.57430851329883</v>
      </c>
      <c r="GZ126" s="62">
        <f ca="1">AVERAGE(OFFSET($GY$3,0,0,'Données projet'!$E$18+1,1))-AVERAGE(OFFSET($H$3,0,0,'Données projet'!$E$18+1,1))</f>
        <v>254.35742752782755</v>
      </c>
      <c r="HA126" s="62">
        <f t="shared" si="106"/>
        <v>171.79611712137395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>
        <f>EXP(-LN(2)/35)*HG125+(1-EXP(-LN(2)/35))/(LN(2)/35)*HC126*HD126*VLOOKUP('Données projet'!$B$18,Paramètres!$A$1:$I$89,3,0)*0.475*44/12</f>
        <v>0</v>
      </c>
      <c r="HH126" s="23">
        <f>EXP(-LN(2)/25)*HH125+(1-EXP(-LN(2)/25))/(LN(2)/25)*Calculateur!HC126*Calculateur!HE126*VLOOKUP('Données projet'!$B$18,Paramètres!$A$1:$I$89,3,0)*0.475*44/12</f>
        <v>0</v>
      </c>
      <c r="HI126" s="23">
        <f>EXP(-LN(2)/2)*HI125+(1-EXP(-LN(2)/2))/(LN(2)/2)*HC126*HF126*VLOOKUP('Données projet'!$B$18,Paramètres!$A$1:$I$89,3,0)*0.475*44/12</f>
        <v>0</v>
      </c>
      <c r="HJ126" s="24">
        <f t="shared" si="84"/>
        <v>0</v>
      </c>
    </row>
    <row r="127" spans="1:218" s="5" customFormat="1" x14ac:dyDescent="0.3">
      <c r="A127" s="11">
        <f t="shared" si="85"/>
        <v>124</v>
      </c>
      <c r="B127" s="76">
        <f>'Scénario référence'!$B$16*5+'Scénario référence'!$B$17*0+'Scénario référence'!$B$18*5</f>
        <v>3.9405000000000001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14.448500000000001</v>
      </c>
      <c r="H127" s="69">
        <f t="shared" si="56"/>
        <v>161.30656666666667</v>
      </c>
      <c r="I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66.580631564277653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210.54472399593521</v>
      </c>
      <c r="T127" s="62">
        <f t="shared" si="88"/>
        <v>181.14158435194193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66.580631564277653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289.05608923588198</v>
      </c>
      <c r="AO127" s="62">
        <f t="shared" si="90"/>
        <v>220.06639020312738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66.580631564277653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1.2474999999999994</v>
      </c>
      <c r="BD127" s="13">
        <f>IF('Données projet'!$A$88&gt;35,BD126+BC127-BL126,IF(A127&lt;'Données projet'!$A$88,$BA$205^A127,IF(A127='Données projet'!$A$88,'Données projet'!$B$88,BD126+BC127-BL126)))</f>
        <v>116.75666666666663</v>
      </c>
      <c r="BE127" s="14">
        <f>BD127*VLOOKUP('Données projet'!$B$11,Paramètres!$A$1:$I$89,3,0)*VLOOKUP('Données projet'!$B$11,Paramètres!$A$1:$I$89,5,0)</f>
        <v>134.50367999999995</v>
      </c>
      <c r="BF127" s="14">
        <f t="shared" si="91"/>
        <v>35.034955853887169</v>
      </c>
      <c r="BG127" s="22">
        <f t="shared" si="61"/>
        <v>295.2797907788534</v>
      </c>
      <c r="BH127" s="62">
        <f t="shared" si="62"/>
        <v>576.07543984787139</v>
      </c>
      <c r="BI127" s="62">
        <f ca="1">AVERAGE(OFFSET($BH$3,0,0,'Données projet'!$E$11+1,1))-AVERAGE(OFFSET($H$3,0,0,'Données projet'!$E$11+1,1))</f>
        <v>299.54950406029354</v>
      </c>
      <c r="BJ127" s="62">
        <f t="shared" si="92"/>
        <v>208.26364698165739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66.580631564277653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2.1367521367521363</v>
      </c>
      <c r="BY127" s="13">
        <f>IF('Données projet'!$A$114&gt;35,BY126+BX127-CG126,IF(A127&lt;'Données projet'!$A$114,$BV$205^A127,IF(A127='Données projet'!$A$114,'Données projet'!$B$114,BY126+BX127-CG126)))</f>
        <v>252.56410256410251</v>
      </c>
      <c r="BZ127" s="14">
        <f>BY127*VLOOKUP('Données projet'!$B$12,Paramètres!$A$1:$I$89,3,0)*VLOOKUP('Données projet'!$B$12,Paramètres!$A$1:$I$89,5,0)</f>
        <v>271.8599999999999</v>
      </c>
      <c r="CA127" s="14">
        <f t="shared" si="93"/>
        <v>65.243850371339093</v>
      </c>
      <c r="CB127" s="22">
        <f t="shared" si="64"/>
        <v>587.12253939674872</v>
      </c>
      <c r="CC127" s="62">
        <f t="shared" si="65"/>
        <v>867.91818846576678</v>
      </c>
      <c r="CD127" s="62">
        <f ca="1">AVERAGE(OFFSET($CC$3,0,0,'Données projet'!$E$12+1,1))-AVERAGE(OFFSET($H$3,0,0,'Données projet'!$E$12+1,1))</f>
        <v>441.30518831297212</v>
      </c>
      <c r="CE127" s="62">
        <f t="shared" si="94"/>
        <v>270.42872405271851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66.580631564277653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-1.1368683772161603E-13</v>
      </c>
      <c r="CU127" s="18">
        <f>CT127*VLOOKUP('Données projet'!$B$13,Paramètres!$A$1:$I$89,3,0)*VLOOKUP('Données projet'!$B$13,Paramètres!$A$1:$I$89,5,0)</f>
        <v>-9.9316821433603781E-14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310.81258463659196</v>
      </c>
      <c r="CZ127" s="62">
        <f t="shared" si="96"/>
        <v>287.31099756692083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66.580631564277653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2.1367521367521363</v>
      </c>
      <c r="DO127" s="13">
        <f>IF('Données projet'!$A$166&gt;35,DO126+DN127-DW126,IF(A127&lt;'Données projet'!$A$166,$DL$205^A127,IF(A127='Données projet'!$A$166,'Données projet'!$B$166,DO126+DN127-DW126)))</f>
        <v>252.56410256410251</v>
      </c>
      <c r="DP127" s="18">
        <f>DO127*VLOOKUP('Données projet'!$B$14,Paramètres!$A$1:$I$89,3,0)*VLOOKUP('Données projet'!$B$14,Paramètres!$A$1:$I$89,5,0)</f>
        <v>263.97999999999996</v>
      </c>
      <c r="DQ127" s="14">
        <f t="shared" si="97"/>
        <v>63.570001567770802</v>
      </c>
      <c r="DR127" s="22">
        <f t="shared" si="70"/>
        <v>570.48291939720082</v>
      </c>
      <c r="DS127" s="62">
        <f t="shared" si="71"/>
        <v>851.27856846621887</v>
      </c>
      <c r="DT127" s="62">
        <f ca="1">AVERAGE(OFFSET($DS$3,0,0,'Données projet'!$E$14+1,1))-AVERAGE(OFFSET($H$3,0,0,'Données projet'!$E$14+1,1))</f>
        <v>431.19274104373625</v>
      </c>
      <c r="DU127" s="62">
        <f t="shared" si="98"/>
        <v>264.67919175178133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66.580631564277653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-6.2527760746888816E-13</v>
      </c>
      <c r="EK127" s="18">
        <f>EJ127*VLOOKUP('Données projet'!$B$15,Paramètres!$A$1:$I$89,3,0)*VLOOKUP('Données projet'!$B$15,Paramètres!$A$1:$I$89,5,0)</f>
        <v>-2.9262992029543964E-13</v>
      </c>
      <c r="EL127" s="14" t="e">
        <f t="shared" si="99"/>
        <v>#NUM!</v>
      </c>
      <c r="EM127" s="22" t="e">
        <f t="shared" si="73"/>
        <v>#NUM!</v>
      </c>
      <c r="EN127" s="62" t="e">
        <f t="shared" si="74"/>
        <v>#NUM!</v>
      </c>
      <c r="EO127" s="62">
        <f ca="1">AVERAGE(OFFSET($EN$3,0,0,'Données projet'!$E$15+1,1))-AVERAGE(OFFSET($H$3,0,0,'Données projet'!$E$15+1,1))</f>
        <v>291.68530745507815</v>
      </c>
      <c r="EP127" s="62">
        <f t="shared" si="100"/>
        <v>175.95121106728979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0</v>
      </c>
      <c r="EZ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66.580631564277653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-1.1368683772161603E-13</v>
      </c>
      <c r="FF127" s="18">
        <f>FE127*VLOOKUP('Données projet'!$B$16,Paramètres!$A$1:$I$89,3,0)*VLOOKUP('Données projet'!$B$16,Paramètres!$A$1:$I$89,5,0)</f>
        <v>-7.4487616075202823E-14</v>
      </c>
      <c r="FG127" s="14" t="e">
        <f t="shared" si="101"/>
        <v>#NUM!</v>
      </c>
      <c r="FH127" s="22" t="e">
        <f t="shared" si="76"/>
        <v>#NUM!</v>
      </c>
      <c r="FI127" s="62" t="e">
        <f t="shared" si="77"/>
        <v>#NUM!</v>
      </c>
      <c r="FJ127" s="62">
        <f ca="1">AVERAGE(OFFSET($FI$3,0,0,'Données projet'!$E$16+1,1))-AVERAGE(OFFSET($H$3,0,0,'Données projet'!$E$16+1,1))</f>
        <v>248.75689726928428</v>
      </c>
      <c r="FK127" s="62">
        <f t="shared" si="102"/>
        <v>232.02291680388336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projet'!$B$16,Paramètres!$A$1:$I$89,3,0)*0.475*44/12</f>
        <v>0</v>
      </c>
      <c r="FR127" s="23">
        <f>EXP(-LN(2)/25)*FR126+(1-EXP(-LN(2)/25))/(LN(2)/25)*Calculateur!FM127*Calculateur!FO127*VLOOKUP('Données projet'!$B$16,Paramètres!$A$1:$I$89,3,0)*0.475*44/12</f>
        <v>0</v>
      </c>
      <c r="FS127" s="23">
        <f>EXP(-LN(2)/2)*FS126+(1-EXP(-LN(2)/2))/(LN(2)/2)*FM127*FP127*VLOOKUP('Données projet'!$B$16,Paramètres!$A$1:$I$89,3,0)*0.475*44/12</f>
        <v>0</v>
      </c>
      <c r="FT127" s="24">
        <f t="shared" si="78"/>
        <v>0</v>
      </c>
      <c r="FU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66.580631564277653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5.1159076974727213E-13</v>
      </c>
      <c r="GA127" s="18">
        <f>FZ127*VLOOKUP('Données projet'!$B$17,Paramètres!$A$1:$I$89,3,0)*VLOOKUP('Données projet'!$B$17,Paramètres!$A$1:$I$89,5,0)</f>
        <v>3.0593128030886877E-13</v>
      </c>
      <c r="GB127" s="14">
        <f t="shared" si="103"/>
        <v>4.0350537939347394E-12</v>
      </c>
      <c r="GC127" s="22">
        <f t="shared" si="79"/>
        <v>7.5605490043076185E-12</v>
      </c>
      <c r="GD127" s="62">
        <f t="shared" si="80"/>
        <v>280.79564906902561</v>
      </c>
      <c r="GE127" s="62">
        <f ca="1">AVERAGE(OFFSET($GD$3,0,0,'Données projet'!$E$17+1,1))-AVERAGE(OFFSET($H$3,0,0,'Données projet'!$E$17+1,1))</f>
        <v>315.909549580511</v>
      </c>
      <c r="GF127" s="62">
        <f t="shared" si="104"/>
        <v>208.56856525402051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projet'!$B$17,Paramètres!$A$1:$I$89,3,0)*0.475*44/12</f>
        <v>0</v>
      </c>
      <c r="GM127" s="23">
        <f>EXP(-LN(2)/25)*GM126+(1-EXP(-LN(2)/25))/(LN(2)/25)*Calculateur!GH127*Calculateur!GJ127*VLOOKUP('Données projet'!$B$17,Paramètres!$A$1:$I$89,3,0)*0.475*44/12</f>
        <v>0</v>
      </c>
      <c r="GN127" s="23">
        <f>EXP(-LN(2)/2)*GN126+(1-EXP(-LN(2)/2))/(LN(2)/2)*GH127*GK127*VLOOKUP('Données projet'!$B$17,Paramètres!$A$1:$I$89,3,0)*0.475*44/12</f>
        <v>0</v>
      </c>
      <c r="GO127" s="23">
        <f t="shared" si="81"/>
        <v>0</v>
      </c>
      <c r="GP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66.580631564277653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1.1368683772161603E-13</v>
      </c>
      <c r="GV127" s="18">
        <f>GU127*VLOOKUP('Données projet'!$B$18,Paramètres!$A$1:$I$89,3,0)*VLOOKUP('Données projet'!$B$18,Paramètres!$A$1:$I$89,5,0)</f>
        <v>7.626113074366004E-14</v>
      </c>
      <c r="GW127" s="14">
        <f t="shared" si="105"/>
        <v>1.1823749172251317E-12</v>
      </c>
      <c r="GX127" s="22">
        <f t="shared" si="82"/>
        <v>2.1921244502123119E-12</v>
      </c>
      <c r="GY127" s="62">
        <f t="shared" si="83"/>
        <v>280.79564906902027</v>
      </c>
      <c r="GZ127" s="62">
        <f ca="1">AVERAGE(OFFSET($GY$3,0,0,'Données projet'!$E$18+1,1))-AVERAGE(OFFSET($H$3,0,0,'Données projet'!$E$18+1,1))</f>
        <v>254.35742752782755</v>
      </c>
      <c r="HA127" s="62">
        <f t="shared" si="106"/>
        <v>171.79611712137395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>
        <f>EXP(-LN(2)/35)*HG126+(1-EXP(-LN(2)/35))/(LN(2)/35)*HC127*HD127*VLOOKUP('Données projet'!$B$18,Paramètres!$A$1:$I$89,3,0)*0.475*44/12</f>
        <v>0</v>
      </c>
      <c r="HH127" s="23">
        <f>EXP(-LN(2)/25)*HH126+(1-EXP(-LN(2)/25))/(LN(2)/25)*Calculateur!HC127*Calculateur!HE127*VLOOKUP('Données projet'!$B$18,Paramètres!$A$1:$I$89,3,0)*0.475*44/12</f>
        <v>0</v>
      </c>
      <c r="HI127" s="23">
        <f>EXP(-LN(2)/2)*HI126+(1-EXP(-LN(2)/2))/(LN(2)/2)*HC127*HF127*VLOOKUP('Données projet'!$B$18,Paramètres!$A$1:$I$89,3,0)*0.475*44/12</f>
        <v>0</v>
      </c>
      <c r="HJ127" s="24">
        <f t="shared" si="84"/>
        <v>0</v>
      </c>
    </row>
    <row r="128" spans="1:218" s="5" customFormat="1" x14ac:dyDescent="0.3">
      <c r="A128" s="11">
        <f t="shared" si="85"/>
        <v>125</v>
      </c>
      <c r="B128" s="76">
        <f>'Scénario référence'!$B$16*5+'Scénario référence'!$B$17*0+'Scénario référence'!$B$18*5</f>
        <v>3.9405000000000001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14.448500000000001</v>
      </c>
      <c r="H128" s="69">
        <f t="shared" si="56"/>
        <v>161.30656666666667</v>
      </c>
      <c r="I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66.639949962074851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210.54472399593521</v>
      </c>
      <c r="T128" s="62">
        <f t="shared" si="88"/>
        <v>181.14158435194193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66.639949962074851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289.05608923588198</v>
      </c>
      <c r="AO128" s="62">
        <f t="shared" si="90"/>
        <v>220.06639020312738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66.639949962074851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1.2474999999999994</v>
      </c>
      <c r="BD128" s="13">
        <f>IF('Données projet'!$A$88&gt;35,BD127+BC128-BL127,IF(A128&lt;'Données projet'!$A$88,$BA$205^A128,IF(A128='Données projet'!$A$88,'Données projet'!$B$88,BD127+BC128-BL127)))</f>
        <v>118.00416666666663</v>
      </c>
      <c r="BE128" s="14">
        <f>BD128*VLOOKUP('Données projet'!$B$11,Paramètres!$A$1:$I$89,3,0)*VLOOKUP('Données projet'!$B$11,Paramètres!$A$1:$I$89,5,0)</f>
        <v>135.94079999999994</v>
      </c>
      <c r="BF128" s="14">
        <f t="shared" si="91"/>
        <v>35.365513394923219</v>
      </c>
      <c r="BG128" s="22">
        <f t="shared" si="61"/>
        <v>298.35849582949118</v>
      </c>
      <c r="BH128" s="62">
        <f t="shared" si="62"/>
        <v>579.37164569043239</v>
      </c>
      <c r="BI128" s="62">
        <f ca="1">AVERAGE(OFFSET($BH$3,0,0,'Données projet'!$E$11+1,1))-AVERAGE(OFFSET($H$3,0,0,'Données projet'!$E$11+1,1))</f>
        <v>299.54950406029354</v>
      </c>
      <c r="BJ128" s="62">
        <f t="shared" si="92"/>
        <v>208.26364698165739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66.639949962074851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2.1367521367521363</v>
      </c>
      <c r="BY128" s="13">
        <f>IF('Données projet'!$A$114&gt;35,BY127+BX128-CG127,IF(A128&lt;'Données projet'!$A$114,$BV$205^A128,IF(A128='Données projet'!$A$114,'Données projet'!$B$114,BY127+BX128-CG127)))</f>
        <v>254.70085470085465</v>
      </c>
      <c r="BZ128" s="14">
        <f>BY128*VLOOKUP('Données projet'!$B$12,Paramètres!$A$1:$I$89,3,0)*VLOOKUP('Données projet'!$B$12,Paramètres!$A$1:$I$89,5,0)</f>
        <v>274.15999999999991</v>
      </c>
      <c r="CA128" s="14">
        <f t="shared" si="93"/>
        <v>65.731339113981832</v>
      </c>
      <c r="CB128" s="22">
        <f t="shared" si="64"/>
        <v>591.97741562351814</v>
      </c>
      <c r="CC128" s="62">
        <f t="shared" si="65"/>
        <v>872.99056548445924</v>
      </c>
      <c r="CD128" s="62">
        <f ca="1">AVERAGE(OFFSET($CC$3,0,0,'Données projet'!$E$12+1,1))-AVERAGE(OFFSET($H$3,0,0,'Données projet'!$E$12+1,1))</f>
        <v>441.30518831297212</v>
      </c>
      <c r="CE128" s="62">
        <f t="shared" si="94"/>
        <v>270.42872405271851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66.639949962074851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-1.1368683772161603E-13</v>
      </c>
      <c r="CU128" s="18">
        <f>CT128*VLOOKUP('Données projet'!$B$13,Paramètres!$A$1:$I$89,3,0)*VLOOKUP('Données projet'!$B$13,Paramètres!$A$1:$I$89,5,0)</f>
        <v>-9.9316821433603781E-14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310.81258463659196</v>
      </c>
      <c r="CZ128" s="62">
        <f t="shared" si="96"/>
        <v>287.31099756692083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66.639949962074851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2.1367521367521363</v>
      </c>
      <c r="DO128" s="13">
        <f>IF('Données projet'!$A$166&gt;35,DO127+DN128-DW127,IF(A128&lt;'Données projet'!$A$166,$DL$205^A128,IF(A128='Données projet'!$A$166,'Données projet'!$B$166,DO127+DN128-DW127)))</f>
        <v>254.70085470085465</v>
      </c>
      <c r="DP128" s="18">
        <f>DO128*VLOOKUP('Données projet'!$B$14,Paramètres!$A$1:$I$89,3,0)*VLOOKUP('Données projet'!$B$14,Paramètres!$A$1:$I$89,5,0)</f>
        <v>266.21333333333331</v>
      </c>
      <c r="DQ128" s="14">
        <f t="shared" si="97"/>
        <v>64.044983653556571</v>
      </c>
      <c r="DR128" s="22">
        <f t="shared" si="70"/>
        <v>575.19990208549996</v>
      </c>
      <c r="DS128" s="62">
        <f t="shared" si="71"/>
        <v>856.21305194644106</v>
      </c>
      <c r="DT128" s="62">
        <f ca="1">AVERAGE(OFFSET($DS$3,0,0,'Données projet'!$E$14+1,1))-AVERAGE(OFFSET($H$3,0,0,'Données projet'!$E$14+1,1))</f>
        <v>431.19274104373625</v>
      </c>
      <c r="DU128" s="62">
        <f t="shared" si="98"/>
        <v>264.67919175178133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66.639949962074851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-6.2527760746888816E-13</v>
      </c>
      <c r="EK128" s="18">
        <f>EJ128*VLOOKUP('Données projet'!$B$15,Paramètres!$A$1:$I$89,3,0)*VLOOKUP('Données projet'!$B$15,Paramètres!$A$1:$I$89,5,0)</f>
        <v>-2.9262992029543964E-13</v>
      </c>
      <c r="EL128" s="14" t="e">
        <f t="shared" si="99"/>
        <v>#NUM!</v>
      </c>
      <c r="EM128" s="22" t="e">
        <f t="shared" si="73"/>
        <v>#NUM!</v>
      </c>
      <c r="EN128" s="62" t="e">
        <f t="shared" si="74"/>
        <v>#NUM!</v>
      </c>
      <c r="EO128" s="62">
        <f ca="1">AVERAGE(OFFSET($EN$3,0,0,'Données projet'!$E$15+1,1))-AVERAGE(OFFSET($H$3,0,0,'Données projet'!$E$15+1,1))</f>
        <v>291.68530745507815</v>
      </c>
      <c r="EP128" s="62">
        <f t="shared" si="100"/>
        <v>175.95121106728979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0</v>
      </c>
      <c r="EZ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66.639949962074851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-1.1368683772161603E-13</v>
      </c>
      <c r="FF128" s="18">
        <f>FE128*VLOOKUP('Données projet'!$B$16,Paramètres!$A$1:$I$89,3,0)*VLOOKUP('Données projet'!$B$16,Paramètres!$A$1:$I$89,5,0)</f>
        <v>-7.4487616075202823E-14</v>
      </c>
      <c r="FG128" s="14" t="e">
        <f t="shared" si="101"/>
        <v>#NUM!</v>
      </c>
      <c r="FH128" s="22" t="e">
        <f t="shared" si="76"/>
        <v>#NUM!</v>
      </c>
      <c r="FI128" s="62" t="e">
        <f t="shared" si="77"/>
        <v>#NUM!</v>
      </c>
      <c r="FJ128" s="62">
        <f ca="1">AVERAGE(OFFSET($FI$3,0,0,'Données projet'!$E$16+1,1))-AVERAGE(OFFSET($H$3,0,0,'Données projet'!$E$16+1,1))</f>
        <v>248.75689726928428</v>
      </c>
      <c r="FK128" s="62">
        <f t="shared" si="102"/>
        <v>232.02291680388336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projet'!$B$16,Paramètres!$A$1:$I$89,3,0)*0.475*44/12</f>
        <v>0</v>
      </c>
      <c r="FR128" s="23">
        <f>EXP(-LN(2)/25)*FR127+(1-EXP(-LN(2)/25))/(LN(2)/25)*Calculateur!FM128*Calculateur!FO128*VLOOKUP('Données projet'!$B$16,Paramètres!$A$1:$I$89,3,0)*0.475*44/12</f>
        <v>0</v>
      </c>
      <c r="FS128" s="23">
        <f>EXP(-LN(2)/2)*FS127+(1-EXP(-LN(2)/2))/(LN(2)/2)*FM128*FP128*VLOOKUP('Données projet'!$B$16,Paramètres!$A$1:$I$89,3,0)*0.475*44/12</f>
        <v>0</v>
      </c>
      <c r="FT128" s="24">
        <f t="shared" si="78"/>
        <v>0</v>
      </c>
      <c r="FU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66.639949962074851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5.1159076974727213E-13</v>
      </c>
      <c r="GA128" s="18">
        <f>FZ128*VLOOKUP('Données projet'!$B$17,Paramètres!$A$1:$I$89,3,0)*VLOOKUP('Données projet'!$B$17,Paramètres!$A$1:$I$89,5,0)</f>
        <v>3.0593128030886877E-13</v>
      </c>
      <c r="GB128" s="14">
        <f t="shared" si="103"/>
        <v>4.0350537939347394E-12</v>
      </c>
      <c r="GC128" s="22">
        <f t="shared" si="79"/>
        <v>7.5605490043076185E-12</v>
      </c>
      <c r="GD128" s="62">
        <f t="shared" si="80"/>
        <v>281.01314986094872</v>
      </c>
      <c r="GE128" s="62">
        <f ca="1">AVERAGE(OFFSET($GD$3,0,0,'Données projet'!$E$17+1,1))-AVERAGE(OFFSET($H$3,0,0,'Données projet'!$E$17+1,1))</f>
        <v>315.909549580511</v>
      </c>
      <c r="GF128" s="62">
        <f t="shared" si="104"/>
        <v>208.56856525402051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projet'!$B$17,Paramètres!$A$1:$I$89,3,0)*0.475*44/12</f>
        <v>0</v>
      </c>
      <c r="GM128" s="23">
        <f>EXP(-LN(2)/25)*GM127+(1-EXP(-LN(2)/25))/(LN(2)/25)*Calculateur!GH128*Calculateur!GJ128*VLOOKUP('Données projet'!$B$17,Paramètres!$A$1:$I$89,3,0)*0.475*44/12</f>
        <v>0</v>
      </c>
      <c r="GN128" s="23">
        <f>EXP(-LN(2)/2)*GN127+(1-EXP(-LN(2)/2))/(LN(2)/2)*GH128*GK128*VLOOKUP('Données projet'!$B$17,Paramètres!$A$1:$I$89,3,0)*0.475*44/12</f>
        <v>0</v>
      </c>
      <c r="GO128" s="23">
        <f t="shared" si="81"/>
        <v>0</v>
      </c>
      <c r="GP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66.639949962074851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1.1368683772161603E-13</v>
      </c>
      <c r="GV128" s="18">
        <f>GU128*VLOOKUP('Données projet'!$B$18,Paramètres!$A$1:$I$89,3,0)*VLOOKUP('Données projet'!$B$18,Paramètres!$A$1:$I$89,5,0)</f>
        <v>7.626113074366004E-14</v>
      </c>
      <c r="GW128" s="14">
        <f t="shared" si="105"/>
        <v>1.1823749172251317E-12</v>
      </c>
      <c r="GX128" s="22">
        <f t="shared" si="82"/>
        <v>2.1921244502123119E-12</v>
      </c>
      <c r="GY128" s="62">
        <f t="shared" si="83"/>
        <v>281.01314986094337</v>
      </c>
      <c r="GZ128" s="62">
        <f ca="1">AVERAGE(OFFSET($GY$3,0,0,'Données projet'!$E$18+1,1))-AVERAGE(OFFSET($H$3,0,0,'Données projet'!$E$18+1,1))</f>
        <v>254.35742752782755</v>
      </c>
      <c r="HA128" s="62">
        <f t="shared" si="106"/>
        <v>171.79611712137395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>
        <f>EXP(-LN(2)/35)*HG127+(1-EXP(-LN(2)/35))/(LN(2)/35)*HC128*HD128*VLOOKUP('Données projet'!$B$18,Paramètres!$A$1:$I$89,3,0)*0.475*44/12</f>
        <v>0</v>
      </c>
      <c r="HH128" s="23">
        <f>EXP(-LN(2)/25)*HH127+(1-EXP(-LN(2)/25))/(LN(2)/25)*Calculateur!HC128*Calculateur!HE128*VLOOKUP('Données projet'!$B$18,Paramètres!$A$1:$I$89,3,0)*0.475*44/12</f>
        <v>0</v>
      </c>
      <c r="HI128" s="23">
        <f>EXP(-LN(2)/2)*HI127+(1-EXP(-LN(2)/2))/(LN(2)/2)*HC128*HF128*VLOOKUP('Données projet'!$B$18,Paramètres!$A$1:$I$89,3,0)*0.475*44/12</f>
        <v>0</v>
      </c>
      <c r="HJ128" s="24">
        <f t="shared" si="84"/>
        <v>0</v>
      </c>
    </row>
    <row r="129" spans="1:218" s="5" customFormat="1" x14ac:dyDescent="0.3">
      <c r="A129" s="11">
        <f t="shared" si="85"/>
        <v>126</v>
      </c>
      <c r="B129" s="76">
        <f>'Scénario référence'!$B$16*5+'Scénario référence'!$B$17*0+'Scénario référence'!$B$18*5</f>
        <v>3.9405000000000001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14.448500000000001</v>
      </c>
      <c r="H129" s="69">
        <f t="shared" si="56"/>
        <v>161.30656666666667</v>
      </c>
      <c r="I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66.69823931828634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210.54472399593521</v>
      </c>
      <c r="T129" s="62">
        <f t="shared" si="88"/>
        <v>181.14158435194193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66.69823931828634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289.05608923588198</v>
      </c>
      <c r="AO129" s="62">
        <f t="shared" si="90"/>
        <v>220.06639020312738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66.69823931828634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1.2474999999999994</v>
      </c>
      <c r="BD129" s="13">
        <f>IF('Données projet'!$A$88&gt;35,BD128+BC129-BL128,IF(A129&lt;'Données projet'!$A$88,$BA$205^A129,IF(A129='Données projet'!$A$88,'Données projet'!$B$88,BD128+BC129-BL128)))</f>
        <v>119.25166666666664</v>
      </c>
      <c r="BE129" s="14">
        <f>BD129*VLOOKUP('Données projet'!$B$11,Paramètres!$A$1:$I$89,3,0)*VLOOKUP('Données projet'!$B$11,Paramètres!$A$1:$I$89,5,0)</f>
        <v>137.37791999999996</v>
      </c>
      <c r="BF129" s="14">
        <f t="shared" si="91"/>
        <v>35.695664413414427</v>
      </c>
      <c r="BG129" s="22">
        <f t="shared" si="61"/>
        <v>301.43649285336335</v>
      </c>
      <c r="BH129" s="62">
        <f t="shared" si="62"/>
        <v>582.66337035374659</v>
      </c>
      <c r="BI129" s="62">
        <f ca="1">AVERAGE(OFFSET($BH$3,0,0,'Données projet'!$E$11+1,1))-AVERAGE(OFFSET($H$3,0,0,'Données projet'!$E$11+1,1))</f>
        <v>299.54950406029354</v>
      </c>
      <c r="BJ129" s="62">
        <f t="shared" si="92"/>
        <v>208.26364698165739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66.69823931828634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2.1367521367521363</v>
      </c>
      <c r="BY129" s="13">
        <f>IF('Données projet'!$A$114&gt;35,BY128+BX129-CG128,IF(A129&lt;'Données projet'!$A$114,$BV$205^A129,IF(A129='Données projet'!$A$114,'Données projet'!$B$114,BY128+BX129-CG128)))</f>
        <v>256.83760683760681</v>
      </c>
      <c r="BZ129" s="14">
        <f>BY129*VLOOKUP('Données projet'!$B$12,Paramètres!$A$1:$I$89,3,0)*VLOOKUP('Données projet'!$B$12,Paramètres!$A$1:$I$89,5,0)</f>
        <v>276.45999999999998</v>
      </c>
      <c r="CA129" s="14">
        <f t="shared" si="93"/>
        <v>66.218352045408679</v>
      </c>
      <c r="CB129" s="22">
        <f t="shared" si="64"/>
        <v>596.83146314575333</v>
      </c>
      <c r="CC129" s="62">
        <f t="shared" si="65"/>
        <v>878.05834064613657</v>
      </c>
      <c r="CD129" s="62">
        <f ca="1">AVERAGE(OFFSET($CC$3,0,0,'Données projet'!$E$12+1,1))-AVERAGE(OFFSET($H$3,0,0,'Données projet'!$E$12+1,1))</f>
        <v>441.30518831297212</v>
      </c>
      <c r="CE129" s="62">
        <f t="shared" si="94"/>
        <v>270.42872405271851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66.69823931828634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-1.1368683772161603E-13</v>
      </c>
      <c r="CU129" s="18">
        <f>CT129*VLOOKUP('Données projet'!$B$13,Paramètres!$A$1:$I$89,3,0)*VLOOKUP('Données projet'!$B$13,Paramètres!$A$1:$I$89,5,0)</f>
        <v>-9.9316821433603781E-14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310.81258463659196</v>
      </c>
      <c r="CZ129" s="62">
        <f t="shared" si="96"/>
        <v>287.31099756692083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66.69823931828634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2.1367521367521363</v>
      </c>
      <c r="DO129" s="13">
        <f>IF('Données projet'!$A$166&gt;35,DO128+DN129-DW128,IF(A129&lt;'Données projet'!$A$166,$DL$205^A129,IF(A129='Données projet'!$A$166,'Données projet'!$B$166,DO128+DN129-DW128)))</f>
        <v>256.83760683760681</v>
      </c>
      <c r="DP129" s="18">
        <f>DO129*VLOOKUP('Données projet'!$B$14,Paramètres!$A$1:$I$89,3,0)*VLOOKUP('Données projet'!$B$14,Paramètres!$A$1:$I$89,5,0)</f>
        <v>268.44666666666666</v>
      </c>
      <c r="DQ129" s="14">
        <f t="shared" si="97"/>
        <v>64.519502135193051</v>
      </c>
      <c r="DR129" s="22">
        <f t="shared" si="70"/>
        <v>579.91607732990553</v>
      </c>
      <c r="DS129" s="62">
        <f t="shared" si="71"/>
        <v>861.14295483028877</v>
      </c>
      <c r="DT129" s="62">
        <f ca="1">AVERAGE(OFFSET($DS$3,0,0,'Données projet'!$E$14+1,1))-AVERAGE(OFFSET($H$3,0,0,'Données projet'!$E$14+1,1))</f>
        <v>431.19274104373625</v>
      </c>
      <c r="DU129" s="62">
        <f t="shared" si="98"/>
        <v>264.67919175178133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66.69823931828634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-6.2527760746888816E-13</v>
      </c>
      <c r="EK129" s="18">
        <f>EJ129*VLOOKUP('Données projet'!$B$15,Paramètres!$A$1:$I$89,3,0)*VLOOKUP('Données projet'!$B$15,Paramètres!$A$1:$I$89,5,0)</f>
        <v>-2.9262992029543964E-13</v>
      </c>
      <c r="EL129" s="14" t="e">
        <f t="shared" si="99"/>
        <v>#NUM!</v>
      </c>
      <c r="EM129" s="22" t="e">
        <f t="shared" si="73"/>
        <v>#NUM!</v>
      </c>
      <c r="EN129" s="62" t="e">
        <f t="shared" si="74"/>
        <v>#NUM!</v>
      </c>
      <c r="EO129" s="62">
        <f ca="1">AVERAGE(OFFSET($EN$3,0,0,'Données projet'!$E$15+1,1))-AVERAGE(OFFSET($H$3,0,0,'Données projet'!$E$15+1,1))</f>
        <v>291.68530745507815</v>
      </c>
      <c r="EP129" s="62">
        <f t="shared" si="100"/>
        <v>175.95121106728979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0</v>
      </c>
      <c r="EZ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66.69823931828634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-1.1368683772161603E-13</v>
      </c>
      <c r="FF129" s="18">
        <f>FE129*VLOOKUP('Données projet'!$B$16,Paramètres!$A$1:$I$89,3,0)*VLOOKUP('Données projet'!$B$16,Paramètres!$A$1:$I$89,5,0)</f>
        <v>-7.4487616075202823E-14</v>
      </c>
      <c r="FG129" s="14" t="e">
        <f t="shared" si="101"/>
        <v>#NUM!</v>
      </c>
      <c r="FH129" s="22" t="e">
        <f t="shared" si="76"/>
        <v>#NUM!</v>
      </c>
      <c r="FI129" s="62" t="e">
        <f t="shared" si="77"/>
        <v>#NUM!</v>
      </c>
      <c r="FJ129" s="62">
        <f ca="1">AVERAGE(OFFSET($FI$3,0,0,'Données projet'!$E$16+1,1))-AVERAGE(OFFSET($H$3,0,0,'Données projet'!$E$16+1,1))</f>
        <v>248.75689726928428</v>
      </c>
      <c r="FK129" s="62">
        <f t="shared" si="102"/>
        <v>232.02291680388336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projet'!$B$16,Paramètres!$A$1:$I$89,3,0)*0.475*44/12</f>
        <v>0</v>
      </c>
      <c r="FR129" s="23">
        <f>EXP(-LN(2)/25)*FR128+(1-EXP(-LN(2)/25))/(LN(2)/25)*Calculateur!FM129*Calculateur!FO129*VLOOKUP('Données projet'!$B$16,Paramètres!$A$1:$I$89,3,0)*0.475*44/12</f>
        <v>0</v>
      </c>
      <c r="FS129" s="23">
        <f>EXP(-LN(2)/2)*FS128+(1-EXP(-LN(2)/2))/(LN(2)/2)*FM129*FP129*VLOOKUP('Données projet'!$B$16,Paramètres!$A$1:$I$89,3,0)*0.475*44/12</f>
        <v>0</v>
      </c>
      <c r="FT129" s="24">
        <f t="shared" si="78"/>
        <v>0</v>
      </c>
      <c r="FU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66.69823931828634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5.1159076974727213E-13</v>
      </c>
      <c r="GA129" s="18">
        <f>FZ129*VLOOKUP('Données projet'!$B$17,Paramètres!$A$1:$I$89,3,0)*VLOOKUP('Données projet'!$B$17,Paramètres!$A$1:$I$89,5,0)</f>
        <v>3.0593128030886877E-13</v>
      </c>
      <c r="GB129" s="14">
        <f t="shared" si="103"/>
        <v>4.0350537939347394E-12</v>
      </c>
      <c r="GC129" s="22">
        <f t="shared" si="79"/>
        <v>7.5605490043076185E-12</v>
      </c>
      <c r="GD129" s="62">
        <f t="shared" si="80"/>
        <v>281.2268775003908</v>
      </c>
      <c r="GE129" s="62">
        <f ca="1">AVERAGE(OFFSET($GD$3,0,0,'Données projet'!$E$17+1,1))-AVERAGE(OFFSET($H$3,0,0,'Données projet'!$E$17+1,1))</f>
        <v>315.909549580511</v>
      </c>
      <c r="GF129" s="62">
        <f t="shared" si="104"/>
        <v>208.56856525402051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projet'!$B$17,Paramètres!$A$1:$I$89,3,0)*0.475*44/12</f>
        <v>0</v>
      </c>
      <c r="GM129" s="23">
        <f>EXP(-LN(2)/25)*GM128+(1-EXP(-LN(2)/25))/(LN(2)/25)*Calculateur!GH129*Calculateur!GJ129*VLOOKUP('Données projet'!$B$17,Paramètres!$A$1:$I$89,3,0)*0.475*44/12</f>
        <v>0</v>
      </c>
      <c r="GN129" s="23">
        <f>EXP(-LN(2)/2)*GN128+(1-EXP(-LN(2)/2))/(LN(2)/2)*GH129*GK129*VLOOKUP('Données projet'!$B$17,Paramètres!$A$1:$I$89,3,0)*0.475*44/12</f>
        <v>0</v>
      </c>
      <c r="GO129" s="23">
        <f t="shared" si="81"/>
        <v>0</v>
      </c>
      <c r="GP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66.69823931828634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1.1368683772161603E-13</v>
      </c>
      <c r="GV129" s="18">
        <f>GU129*VLOOKUP('Données projet'!$B$18,Paramètres!$A$1:$I$89,3,0)*VLOOKUP('Données projet'!$B$18,Paramètres!$A$1:$I$89,5,0)</f>
        <v>7.626113074366004E-14</v>
      </c>
      <c r="GW129" s="14">
        <f t="shared" si="105"/>
        <v>1.1823749172251317E-12</v>
      </c>
      <c r="GX129" s="22">
        <f t="shared" si="82"/>
        <v>2.1921244502123119E-12</v>
      </c>
      <c r="GY129" s="62">
        <f t="shared" si="83"/>
        <v>281.22687750038546</v>
      </c>
      <c r="GZ129" s="62">
        <f ca="1">AVERAGE(OFFSET($GY$3,0,0,'Données projet'!$E$18+1,1))-AVERAGE(OFFSET($H$3,0,0,'Données projet'!$E$18+1,1))</f>
        <v>254.35742752782755</v>
      </c>
      <c r="HA129" s="62">
        <f t="shared" si="106"/>
        <v>171.79611712137395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>
        <f>EXP(-LN(2)/35)*HG128+(1-EXP(-LN(2)/35))/(LN(2)/35)*HC129*HD129*VLOOKUP('Données projet'!$B$18,Paramètres!$A$1:$I$89,3,0)*0.475*44/12</f>
        <v>0</v>
      </c>
      <c r="HH129" s="23">
        <f>EXP(-LN(2)/25)*HH128+(1-EXP(-LN(2)/25))/(LN(2)/25)*Calculateur!HC129*Calculateur!HE129*VLOOKUP('Données projet'!$B$18,Paramètres!$A$1:$I$89,3,0)*0.475*44/12</f>
        <v>0</v>
      </c>
      <c r="HI129" s="23">
        <f>EXP(-LN(2)/2)*HI128+(1-EXP(-LN(2)/2))/(LN(2)/2)*HC129*HF129*VLOOKUP('Données projet'!$B$18,Paramètres!$A$1:$I$89,3,0)*0.475*44/12</f>
        <v>0</v>
      </c>
      <c r="HJ129" s="24">
        <f t="shared" si="84"/>
        <v>0</v>
      </c>
    </row>
    <row r="130" spans="1:218" s="5" customFormat="1" x14ac:dyDescent="0.3">
      <c r="A130" s="11">
        <f t="shared" si="85"/>
        <v>127</v>
      </c>
      <c r="B130" s="76">
        <f>'Scénario référence'!$B$16*5+'Scénario référence'!$B$17*0+'Scénario référence'!$B$18*5</f>
        <v>3.9405000000000001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14.448500000000001</v>
      </c>
      <c r="H130" s="69">
        <f t="shared" si="56"/>
        <v>161.30656666666667</v>
      </c>
      <c r="I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66.755517484483036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210.54472399593521</v>
      </c>
      <c r="T130" s="62">
        <f t="shared" si="88"/>
        <v>181.14158435194193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66.755517484483036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289.05608923588198</v>
      </c>
      <c r="AO130" s="62">
        <f t="shared" si="90"/>
        <v>220.06639020312738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66.755517484483036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1.2474999999999994</v>
      </c>
      <c r="BD130" s="13">
        <f>IF('Données projet'!$A$88&gt;35,BD129+BC130-BL129,IF(A130&lt;'Données projet'!$A$88,$BA$205^A130,IF(A130='Données projet'!$A$88,'Données projet'!$B$88,BD129+BC130-BL129)))</f>
        <v>120.49916666666664</v>
      </c>
      <c r="BE130" s="14">
        <f>BD130*VLOOKUP('Données projet'!$B$11,Paramètres!$A$1:$I$89,3,0)*VLOOKUP('Données projet'!$B$11,Paramètres!$A$1:$I$89,5,0)</f>
        <v>138.81503999999995</v>
      </c>
      <c r="BF130" s="14">
        <f t="shared" si="91"/>
        <v>36.02541365431572</v>
      </c>
      <c r="BG130" s="22">
        <f t="shared" si="61"/>
        <v>304.51379011459977</v>
      </c>
      <c r="BH130" s="62">
        <f t="shared" si="62"/>
        <v>585.95068755770421</v>
      </c>
      <c r="BI130" s="62">
        <f ca="1">AVERAGE(OFFSET($BH$3,0,0,'Données projet'!$E$11+1,1))-AVERAGE(OFFSET($H$3,0,0,'Données projet'!$E$11+1,1))</f>
        <v>299.54950406029354</v>
      </c>
      <c r="BJ130" s="62">
        <f t="shared" si="92"/>
        <v>208.26364698165739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66.755517484483036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2.1367521367521363</v>
      </c>
      <c r="BY130" s="13">
        <f>IF('Données projet'!$A$114&gt;35,BY129+BX130-CG129,IF(A130&lt;'Données projet'!$A$114,$BV$205^A130,IF(A130='Données projet'!$A$114,'Données projet'!$B$114,BY129+BX130-CG129)))</f>
        <v>258.97435897435895</v>
      </c>
      <c r="BZ130" s="14">
        <f>BY130*VLOOKUP('Données projet'!$B$12,Paramètres!$A$1:$I$89,3,0)*VLOOKUP('Données projet'!$B$12,Paramètres!$A$1:$I$89,5,0)</f>
        <v>278.75999999999993</v>
      </c>
      <c r="CA130" s="14">
        <f t="shared" si="93"/>
        <v>66.70489358284766</v>
      </c>
      <c r="CB130" s="22">
        <f t="shared" si="64"/>
        <v>601.68468965679278</v>
      </c>
      <c r="CC130" s="62">
        <f t="shared" si="65"/>
        <v>883.12158709989717</v>
      </c>
      <c r="CD130" s="62">
        <f ca="1">AVERAGE(OFFSET($CC$3,0,0,'Données projet'!$E$12+1,1))-AVERAGE(OFFSET($H$3,0,0,'Données projet'!$E$12+1,1))</f>
        <v>441.30518831297212</v>
      </c>
      <c r="CE130" s="62">
        <f t="shared" si="94"/>
        <v>270.42872405271851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66.755517484483036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-1.1368683772161603E-13</v>
      </c>
      <c r="CU130" s="18">
        <f>CT130*VLOOKUP('Données projet'!$B$13,Paramètres!$A$1:$I$89,3,0)*VLOOKUP('Données projet'!$B$13,Paramètres!$A$1:$I$89,5,0)</f>
        <v>-9.9316821433603781E-14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310.81258463659196</v>
      </c>
      <c r="CZ130" s="62">
        <f t="shared" si="96"/>
        <v>287.31099756692083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66.755517484483036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2.1367521367521363</v>
      </c>
      <c r="DO130" s="13">
        <f>IF('Données projet'!$A$166&gt;35,DO129+DN130-DW129,IF(A130&lt;'Données projet'!$A$166,$DL$205^A130,IF(A130='Données projet'!$A$166,'Données projet'!$B$166,DO129+DN130-DW129)))</f>
        <v>258.97435897435895</v>
      </c>
      <c r="DP130" s="18">
        <f>DO130*VLOOKUP('Données projet'!$B$14,Paramètres!$A$1:$I$89,3,0)*VLOOKUP('Données projet'!$B$14,Paramètres!$A$1:$I$89,5,0)</f>
        <v>270.68</v>
      </c>
      <c r="DQ130" s="14">
        <f t="shared" si="97"/>
        <v>64.993561316583325</v>
      </c>
      <c r="DR130" s="22">
        <f t="shared" si="70"/>
        <v>584.63145262638261</v>
      </c>
      <c r="DS130" s="62">
        <f t="shared" si="71"/>
        <v>866.068350069487</v>
      </c>
      <c r="DT130" s="62">
        <f ca="1">AVERAGE(OFFSET($DS$3,0,0,'Données projet'!$E$14+1,1))-AVERAGE(OFFSET($H$3,0,0,'Données projet'!$E$14+1,1))</f>
        <v>431.19274104373625</v>
      </c>
      <c r="DU130" s="62">
        <f t="shared" si="98"/>
        <v>264.67919175178133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66.755517484483036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-6.2527760746888816E-13</v>
      </c>
      <c r="EK130" s="18">
        <f>EJ130*VLOOKUP('Données projet'!$B$15,Paramètres!$A$1:$I$89,3,0)*VLOOKUP('Données projet'!$B$15,Paramètres!$A$1:$I$89,5,0)</f>
        <v>-2.9262992029543964E-13</v>
      </c>
      <c r="EL130" s="14" t="e">
        <f t="shared" si="99"/>
        <v>#NUM!</v>
      </c>
      <c r="EM130" s="22" t="e">
        <f t="shared" si="73"/>
        <v>#NUM!</v>
      </c>
      <c r="EN130" s="62" t="e">
        <f t="shared" si="74"/>
        <v>#NUM!</v>
      </c>
      <c r="EO130" s="62">
        <f ca="1">AVERAGE(OFFSET($EN$3,0,0,'Données projet'!$E$15+1,1))-AVERAGE(OFFSET($H$3,0,0,'Données projet'!$E$15+1,1))</f>
        <v>291.68530745507815</v>
      </c>
      <c r="EP130" s="62">
        <f t="shared" si="100"/>
        <v>175.95121106728979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0</v>
      </c>
      <c r="EZ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66.755517484483036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-1.1368683772161603E-13</v>
      </c>
      <c r="FF130" s="18">
        <f>FE130*VLOOKUP('Données projet'!$B$16,Paramètres!$A$1:$I$89,3,0)*VLOOKUP('Données projet'!$B$16,Paramètres!$A$1:$I$89,5,0)</f>
        <v>-7.4487616075202823E-14</v>
      </c>
      <c r="FG130" s="14" t="e">
        <f t="shared" si="101"/>
        <v>#NUM!</v>
      </c>
      <c r="FH130" s="22" t="e">
        <f t="shared" si="76"/>
        <v>#NUM!</v>
      </c>
      <c r="FI130" s="62" t="e">
        <f t="shared" si="77"/>
        <v>#NUM!</v>
      </c>
      <c r="FJ130" s="62">
        <f ca="1">AVERAGE(OFFSET($FI$3,0,0,'Données projet'!$E$16+1,1))-AVERAGE(OFFSET($H$3,0,0,'Données projet'!$E$16+1,1))</f>
        <v>248.75689726928428</v>
      </c>
      <c r="FK130" s="62">
        <f t="shared" si="102"/>
        <v>232.02291680388336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projet'!$B$16,Paramètres!$A$1:$I$89,3,0)*0.475*44/12</f>
        <v>0</v>
      </c>
      <c r="FR130" s="23">
        <f>EXP(-LN(2)/25)*FR129+(1-EXP(-LN(2)/25))/(LN(2)/25)*Calculateur!FM130*Calculateur!FO130*VLOOKUP('Données projet'!$B$16,Paramètres!$A$1:$I$89,3,0)*0.475*44/12</f>
        <v>0</v>
      </c>
      <c r="FS130" s="23">
        <f>EXP(-LN(2)/2)*FS129+(1-EXP(-LN(2)/2))/(LN(2)/2)*FM130*FP130*VLOOKUP('Données projet'!$B$16,Paramètres!$A$1:$I$89,3,0)*0.475*44/12</f>
        <v>0</v>
      </c>
      <c r="FT130" s="24">
        <f t="shared" si="78"/>
        <v>0</v>
      </c>
      <c r="FU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66.755517484483036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5.1159076974727213E-13</v>
      </c>
      <c r="GA130" s="18">
        <f>FZ130*VLOOKUP('Données projet'!$B$17,Paramètres!$A$1:$I$89,3,0)*VLOOKUP('Données projet'!$B$17,Paramètres!$A$1:$I$89,5,0)</f>
        <v>3.0593128030886877E-13</v>
      </c>
      <c r="GB130" s="14">
        <f t="shared" si="103"/>
        <v>4.0350537939347394E-12</v>
      </c>
      <c r="GC130" s="22">
        <f t="shared" si="79"/>
        <v>7.5605490043076185E-12</v>
      </c>
      <c r="GD130" s="62">
        <f t="shared" si="80"/>
        <v>281.436897443112</v>
      </c>
      <c r="GE130" s="62">
        <f ca="1">AVERAGE(OFFSET($GD$3,0,0,'Données projet'!$E$17+1,1))-AVERAGE(OFFSET($H$3,0,0,'Données projet'!$E$17+1,1))</f>
        <v>315.909549580511</v>
      </c>
      <c r="GF130" s="62">
        <f t="shared" si="104"/>
        <v>208.56856525402051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projet'!$B$17,Paramètres!$A$1:$I$89,3,0)*0.475*44/12</f>
        <v>0</v>
      </c>
      <c r="GM130" s="23">
        <f>EXP(-LN(2)/25)*GM129+(1-EXP(-LN(2)/25))/(LN(2)/25)*Calculateur!GH130*Calculateur!GJ130*VLOOKUP('Données projet'!$B$17,Paramètres!$A$1:$I$89,3,0)*0.475*44/12</f>
        <v>0</v>
      </c>
      <c r="GN130" s="23">
        <f>EXP(-LN(2)/2)*GN129+(1-EXP(-LN(2)/2))/(LN(2)/2)*GH130*GK130*VLOOKUP('Données projet'!$B$17,Paramètres!$A$1:$I$89,3,0)*0.475*44/12</f>
        <v>0</v>
      </c>
      <c r="GO130" s="23">
        <f t="shared" si="81"/>
        <v>0</v>
      </c>
      <c r="GP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66.755517484483036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1.1368683772161603E-13</v>
      </c>
      <c r="GV130" s="18">
        <f>GU130*VLOOKUP('Données projet'!$B$18,Paramètres!$A$1:$I$89,3,0)*VLOOKUP('Données projet'!$B$18,Paramètres!$A$1:$I$89,5,0)</f>
        <v>7.626113074366004E-14</v>
      </c>
      <c r="GW130" s="14">
        <f t="shared" si="105"/>
        <v>1.1823749172251317E-12</v>
      </c>
      <c r="GX130" s="22">
        <f t="shared" si="82"/>
        <v>2.1921244502123119E-12</v>
      </c>
      <c r="GY130" s="62">
        <f t="shared" si="83"/>
        <v>281.43689744310666</v>
      </c>
      <c r="GZ130" s="62">
        <f ca="1">AVERAGE(OFFSET($GY$3,0,0,'Données projet'!$E$18+1,1))-AVERAGE(OFFSET($H$3,0,0,'Données projet'!$E$18+1,1))</f>
        <v>254.35742752782755</v>
      </c>
      <c r="HA130" s="62">
        <f t="shared" si="106"/>
        <v>171.79611712137395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>
        <f>EXP(-LN(2)/35)*HG129+(1-EXP(-LN(2)/35))/(LN(2)/35)*HC130*HD130*VLOOKUP('Données projet'!$B$18,Paramètres!$A$1:$I$89,3,0)*0.475*44/12</f>
        <v>0</v>
      </c>
      <c r="HH130" s="23">
        <f>EXP(-LN(2)/25)*HH129+(1-EXP(-LN(2)/25))/(LN(2)/25)*Calculateur!HC130*Calculateur!HE130*VLOOKUP('Données projet'!$B$18,Paramètres!$A$1:$I$89,3,0)*0.475*44/12</f>
        <v>0</v>
      </c>
      <c r="HI130" s="23">
        <f>EXP(-LN(2)/2)*HI129+(1-EXP(-LN(2)/2))/(LN(2)/2)*HC130*HF130*VLOOKUP('Données projet'!$B$18,Paramètres!$A$1:$I$89,3,0)*0.475*44/12</f>
        <v>0</v>
      </c>
      <c r="HJ130" s="24">
        <f t="shared" si="84"/>
        <v>0</v>
      </c>
    </row>
    <row r="131" spans="1:218" s="5" customFormat="1" x14ac:dyDescent="0.3">
      <c r="A131" s="11">
        <f t="shared" si="85"/>
        <v>128</v>
      </c>
      <c r="B131" s="76">
        <f>'Scénario référence'!$B$16*5+'Scénario référence'!$B$17*0+'Scénario référence'!$B$18*5</f>
        <v>3.9405000000000001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14.448500000000001</v>
      </c>
      <c r="H131" s="69">
        <f t="shared" si="56"/>
        <v>161.30656666666667</v>
      </c>
      <c r="I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66.811802002551019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210.54472399593521</v>
      </c>
      <c r="T131" s="62">
        <f t="shared" si="88"/>
        <v>181.14158435194193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66.811802002551019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289.05608923588198</v>
      </c>
      <c r="AO131" s="62">
        <f t="shared" si="90"/>
        <v>220.06639020312738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66.811802002551019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1.2474999999999994</v>
      </c>
      <c r="BD131" s="13">
        <f>IF('Données projet'!$A$88&gt;35,BD130+BC131-BL130,IF(A131&lt;'Données projet'!$A$88,$BA$205^A131,IF(A131='Données projet'!$A$88,'Données projet'!$B$88,BD130+BC131-BL130)))</f>
        <v>121.74666666666664</v>
      </c>
      <c r="BE131" s="14">
        <f>BD131*VLOOKUP('Données projet'!$B$11,Paramètres!$A$1:$I$89,3,0)*VLOOKUP('Données projet'!$B$11,Paramètres!$A$1:$I$89,5,0)</f>
        <v>140.25215999999998</v>
      </c>
      <c r="BF131" s="14">
        <f t="shared" si="91"/>
        <v>36.354765758674333</v>
      </c>
      <c r="BG131" s="22">
        <f t="shared" si="61"/>
        <v>307.59039569635775</v>
      </c>
      <c r="BH131" s="62">
        <f t="shared" si="62"/>
        <v>589.23366970571146</v>
      </c>
      <c r="BI131" s="62">
        <f ca="1">AVERAGE(OFFSET($BH$3,0,0,'Données projet'!$E$11+1,1))-AVERAGE(OFFSET($H$3,0,0,'Données projet'!$E$11+1,1))</f>
        <v>299.54950406029354</v>
      </c>
      <c r="BJ131" s="62">
        <f t="shared" si="92"/>
        <v>208.26364698165739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66.811802002551019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2.1367521367521363</v>
      </c>
      <c r="BY131" s="13">
        <f>IF('Données projet'!$A$114&gt;35,BY130+BX131-CG130,IF(A131&lt;'Données projet'!$A$114,$BV$205^A131,IF(A131='Données projet'!$A$114,'Données projet'!$B$114,BY130+BX131-CG130)))</f>
        <v>261.11111111111109</v>
      </c>
      <c r="BZ131" s="14">
        <f>BY131*VLOOKUP('Données projet'!$B$12,Paramètres!$A$1:$I$89,3,0)*VLOOKUP('Données projet'!$B$12,Paramètres!$A$1:$I$89,5,0)</f>
        <v>281.05999999999995</v>
      </c>
      <c r="CA131" s="14">
        <f t="shared" si="93"/>
        <v>67.190968066427587</v>
      </c>
      <c r="CB131" s="22">
        <f t="shared" si="64"/>
        <v>606.53710271569446</v>
      </c>
      <c r="CC131" s="62">
        <f t="shared" si="65"/>
        <v>888.18037672504818</v>
      </c>
      <c r="CD131" s="62">
        <f ca="1">AVERAGE(OFFSET($CC$3,0,0,'Données projet'!$E$12+1,1))-AVERAGE(OFFSET($H$3,0,0,'Données projet'!$E$12+1,1))</f>
        <v>441.30518831297212</v>
      </c>
      <c r="CE131" s="62">
        <f t="shared" si="94"/>
        <v>270.42872405271851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66.811802002551019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-1.1368683772161603E-13</v>
      </c>
      <c r="CU131" s="18">
        <f>CT131*VLOOKUP('Données projet'!$B$13,Paramètres!$A$1:$I$89,3,0)*VLOOKUP('Données projet'!$B$13,Paramètres!$A$1:$I$89,5,0)</f>
        <v>-9.9316821433603781E-14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310.81258463659196</v>
      </c>
      <c r="CZ131" s="62">
        <f t="shared" si="96"/>
        <v>287.31099756692083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66.811802002551019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2.1367521367521363</v>
      </c>
      <c r="DO131" s="13">
        <f>IF('Données projet'!$A$166&gt;35,DO130+DN131-DW130,IF(A131&lt;'Données projet'!$A$166,$DL$205^A131,IF(A131='Données projet'!$A$166,'Données projet'!$B$166,DO130+DN131-DW130)))</f>
        <v>261.11111111111109</v>
      </c>
      <c r="DP131" s="18">
        <f>DO131*VLOOKUP('Données projet'!$B$14,Paramètres!$A$1:$I$89,3,0)*VLOOKUP('Données projet'!$B$14,Paramètres!$A$1:$I$89,5,0)</f>
        <v>272.9133333333333</v>
      </c>
      <c r="DQ131" s="14">
        <f t="shared" si="97"/>
        <v>65.467165426508799</v>
      </c>
      <c r="DR131" s="22">
        <f t="shared" si="70"/>
        <v>589.34603534005839</v>
      </c>
      <c r="DS131" s="62">
        <f t="shared" si="71"/>
        <v>870.98930934941211</v>
      </c>
      <c r="DT131" s="62">
        <f ca="1">AVERAGE(OFFSET($DS$3,0,0,'Données projet'!$E$14+1,1))-AVERAGE(OFFSET($H$3,0,0,'Données projet'!$E$14+1,1))</f>
        <v>431.19274104373625</v>
      </c>
      <c r="DU131" s="62">
        <f t="shared" si="98"/>
        <v>264.67919175178133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66.811802002551019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-6.2527760746888816E-13</v>
      </c>
      <c r="EK131" s="18">
        <f>EJ131*VLOOKUP('Données projet'!$B$15,Paramètres!$A$1:$I$89,3,0)*VLOOKUP('Données projet'!$B$15,Paramètres!$A$1:$I$89,5,0)</f>
        <v>-2.9262992029543964E-13</v>
      </c>
      <c r="EL131" s="14" t="e">
        <f t="shared" si="99"/>
        <v>#NUM!</v>
      </c>
      <c r="EM131" s="22" t="e">
        <f t="shared" si="73"/>
        <v>#NUM!</v>
      </c>
      <c r="EN131" s="62" t="e">
        <f t="shared" si="74"/>
        <v>#NUM!</v>
      </c>
      <c r="EO131" s="62">
        <f ca="1">AVERAGE(OFFSET($EN$3,0,0,'Données projet'!$E$15+1,1))-AVERAGE(OFFSET($H$3,0,0,'Données projet'!$E$15+1,1))</f>
        <v>291.68530745507815</v>
      </c>
      <c r="EP131" s="62">
        <f t="shared" si="100"/>
        <v>175.95121106728979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0</v>
      </c>
      <c r="EZ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66.811802002551019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-1.1368683772161603E-13</v>
      </c>
      <c r="FF131" s="18">
        <f>FE131*VLOOKUP('Données projet'!$B$16,Paramètres!$A$1:$I$89,3,0)*VLOOKUP('Données projet'!$B$16,Paramètres!$A$1:$I$89,5,0)</f>
        <v>-7.4487616075202823E-14</v>
      </c>
      <c r="FG131" s="14" t="e">
        <f t="shared" si="101"/>
        <v>#NUM!</v>
      </c>
      <c r="FH131" s="22" t="e">
        <f t="shared" si="76"/>
        <v>#NUM!</v>
      </c>
      <c r="FI131" s="62" t="e">
        <f t="shared" si="77"/>
        <v>#NUM!</v>
      </c>
      <c r="FJ131" s="62">
        <f ca="1">AVERAGE(OFFSET($FI$3,0,0,'Données projet'!$E$16+1,1))-AVERAGE(OFFSET($H$3,0,0,'Données projet'!$E$16+1,1))</f>
        <v>248.75689726928428</v>
      </c>
      <c r="FK131" s="62">
        <f t="shared" si="102"/>
        <v>232.02291680388336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projet'!$B$16,Paramètres!$A$1:$I$89,3,0)*0.475*44/12</f>
        <v>0</v>
      </c>
      <c r="FR131" s="23">
        <f>EXP(-LN(2)/25)*FR130+(1-EXP(-LN(2)/25))/(LN(2)/25)*Calculateur!FM131*Calculateur!FO131*VLOOKUP('Données projet'!$B$16,Paramètres!$A$1:$I$89,3,0)*0.475*44/12</f>
        <v>0</v>
      </c>
      <c r="FS131" s="23">
        <f>EXP(-LN(2)/2)*FS130+(1-EXP(-LN(2)/2))/(LN(2)/2)*FM131*FP131*VLOOKUP('Données projet'!$B$16,Paramètres!$A$1:$I$89,3,0)*0.475*44/12</f>
        <v>0</v>
      </c>
      <c r="FT131" s="24">
        <f t="shared" si="78"/>
        <v>0</v>
      </c>
      <c r="FU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66.811802002551019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5.1159076974727213E-13</v>
      </c>
      <c r="GA131" s="18">
        <f>FZ131*VLOOKUP('Données projet'!$B$17,Paramètres!$A$1:$I$89,3,0)*VLOOKUP('Données projet'!$B$17,Paramètres!$A$1:$I$89,5,0)</f>
        <v>3.0593128030886877E-13</v>
      </c>
      <c r="GB131" s="14">
        <f t="shared" si="103"/>
        <v>4.0350537939347394E-12</v>
      </c>
      <c r="GC131" s="22">
        <f t="shared" si="79"/>
        <v>7.5605490043076185E-12</v>
      </c>
      <c r="GD131" s="62">
        <f t="shared" si="80"/>
        <v>281.64327400936128</v>
      </c>
      <c r="GE131" s="62">
        <f ca="1">AVERAGE(OFFSET($GD$3,0,0,'Données projet'!$E$17+1,1))-AVERAGE(OFFSET($H$3,0,0,'Données projet'!$E$17+1,1))</f>
        <v>315.909549580511</v>
      </c>
      <c r="GF131" s="62">
        <f t="shared" si="104"/>
        <v>208.56856525402051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projet'!$B$17,Paramètres!$A$1:$I$89,3,0)*0.475*44/12</f>
        <v>0</v>
      </c>
      <c r="GM131" s="23">
        <f>EXP(-LN(2)/25)*GM130+(1-EXP(-LN(2)/25))/(LN(2)/25)*Calculateur!GH131*Calculateur!GJ131*VLOOKUP('Données projet'!$B$17,Paramètres!$A$1:$I$89,3,0)*0.475*44/12</f>
        <v>0</v>
      </c>
      <c r="GN131" s="23">
        <f>EXP(-LN(2)/2)*GN130+(1-EXP(-LN(2)/2))/(LN(2)/2)*GH131*GK131*VLOOKUP('Données projet'!$B$17,Paramètres!$A$1:$I$89,3,0)*0.475*44/12</f>
        <v>0</v>
      </c>
      <c r="GO131" s="23">
        <f t="shared" si="81"/>
        <v>0</v>
      </c>
      <c r="GP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66.811802002551019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1.1368683772161603E-13</v>
      </c>
      <c r="GV131" s="18">
        <f>GU131*VLOOKUP('Données projet'!$B$18,Paramètres!$A$1:$I$89,3,0)*VLOOKUP('Données projet'!$B$18,Paramètres!$A$1:$I$89,5,0)</f>
        <v>7.626113074366004E-14</v>
      </c>
      <c r="GW131" s="14">
        <f t="shared" si="105"/>
        <v>1.1823749172251317E-12</v>
      </c>
      <c r="GX131" s="22">
        <f t="shared" si="82"/>
        <v>2.1921244502123119E-12</v>
      </c>
      <c r="GY131" s="62">
        <f t="shared" si="83"/>
        <v>281.64327400935593</v>
      </c>
      <c r="GZ131" s="62">
        <f ca="1">AVERAGE(OFFSET($GY$3,0,0,'Données projet'!$E$18+1,1))-AVERAGE(OFFSET($H$3,0,0,'Données projet'!$E$18+1,1))</f>
        <v>254.35742752782755</v>
      </c>
      <c r="HA131" s="62">
        <f t="shared" si="106"/>
        <v>171.79611712137395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>
        <f>EXP(-LN(2)/35)*HG130+(1-EXP(-LN(2)/35))/(LN(2)/35)*HC131*HD131*VLOOKUP('Données projet'!$B$18,Paramètres!$A$1:$I$89,3,0)*0.475*44/12</f>
        <v>0</v>
      </c>
      <c r="HH131" s="23">
        <f>EXP(-LN(2)/25)*HH130+(1-EXP(-LN(2)/25))/(LN(2)/25)*Calculateur!HC131*Calculateur!HE131*VLOOKUP('Données projet'!$B$18,Paramètres!$A$1:$I$89,3,0)*0.475*44/12</f>
        <v>0</v>
      </c>
      <c r="HI131" s="23">
        <f>EXP(-LN(2)/2)*HI130+(1-EXP(-LN(2)/2))/(LN(2)/2)*HC131*HF131*VLOOKUP('Données projet'!$B$18,Paramètres!$A$1:$I$89,3,0)*0.475*44/12</f>
        <v>0</v>
      </c>
      <c r="HJ131" s="24">
        <f t="shared" si="84"/>
        <v>0</v>
      </c>
    </row>
    <row r="132" spans="1:218" s="5" customFormat="1" x14ac:dyDescent="0.3">
      <c r="A132" s="11">
        <f t="shared" si="85"/>
        <v>129</v>
      </c>
      <c r="B132" s="76">
        <f>'Scénario référence'!$B$16*5+'Scénario référence'!$B$17*0+'Scénario référence'!$B$18*5</f>
        <v>3.9405000000000001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14.448500000000001</v>
      </c>
      <c r="H132" s="69">
        <f t="shared" ref="H132:H195" si="110">(B132+E132+F132)*44/12+(C132+D132)*0.475*44/12</f>
        <v>161.30656666666667</v>
      </c>
      <c r="I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66.867110110063848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210.54472399593521</v>
      </c>
      <c r="T132" s="62">
        <f t="shared" si="88"/>
        <v>181.14158435194193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66.867110110063848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289.05608923588198</v>
      </c>
      <c r="AO132" s="62">
        <f t="shared" si="90"/>
        <v>220.06639020312738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66.867110110063848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1.2474999999999994</v>
      </c>
      <c r="BD132" s="13">
        <f>IF('Données projet'!$A$88&gt;35,BD131+BC132-BL131,IF(A132&lt;'Données projet'!$A$88,$BA$205^A132,IF(A132='Données projet'!$A$88,'Données projet'!$B$88,BD131+BC132-BL131)))</f>
        <v>122.99416666666664</v>
      </c>
      <c r="BE132" s="14">
        <f>BD132*VLOOKUP('Données projet'!$B$11,Paramètres!$A$1:$I$89,3,0)*VLOOKUP('Données projet'!$B$11,Paramètres!$A$1:$I$89,5,0)</f>
        <v>141.68927999999997</v>
      </c>
      <c r="BF132" s="14">
        <f t="shared" si="91"/>
        <v>36.683725266946084</v>
      </c>
      <c r="BG132" s="22">
        <f t="shared" ref="BG132:BG153" si="115">(BE132+BF132)*0.475*44/12</f>
        <v>310.66631750659769</v>
      </c>
      <c r="BH132" s="62">
        <f t="shared" ref="BH132:BH195" si="116">BG132+(AY132+AZ132)*44/12</f>
        <v>592.51238791016522</v>
      </c>
      <c r="BI132" s="62">
        <f ca="1">AVERAGE(OFFSET($BH$3,0,0,'Données projet'!$E$11+1,1))-AVERAGE(OFFSET($H$3,0,0,'Données projet'!$E$11+1,1))</f>
        <v>299.54950406029354</v>
      </c>
      <c r="BJ132" s="62">
        <f t="shared" si="92"/>
        <v>208.26364698165739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66.867110110063848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2.1367521367521363</v>
      </c>
      <c r="BY132" s="13">
        <f>IF('Données projet'!$A$114&gt;35,BY131+BX132-CG131,IF(A132&lt;'Données projet'!$A$114,$BV$205^A132,IF(A132='Données projet'!$A$114,'Données projet'!$B$114,BY131+BX132-CG131)))</f>
        <v>263.24786324786322</v>
      </c>
      <c r="BZ132" s="14">
        <f>BY132*VLOOKUP('Données projet'!$B$12,Paramètres!$A$1:$I$89,3,0)*VLOOKUP('Données projet'!$B$12,Paramètres!$A$1:$I$89,5,0)</f>
        <v>283.35999999999996</v>
      </c>
      <c r="CA132" s="14">
        <f t="shared" si="93"/>
        <v>67.676579761143032</v>
      </c>
      <c r="CB132" s="22">
        <f t="shared" ref="CB132:CB153" si="118">(BZ132+CA132)*0.475*44/12</f>
        <v>611.38870975065743</v>
      </c>
      <c r="CC132" s="62">
        <f t="shared" ref="CC132:CC195" si="119">CB132+(BT132+BU132)*44/12</f>
        <v>893.23478015422484</v>
      </c>
      <c r="CD132" s="62">
        <f ca="1">AVERAGE(OFFSET($CC$3,0,0,'Données projet'!$E$12+1,1))-AVERAGE(OFFSET($H$3,0,0,'Données projet'!$E$12+1,1))</f>
        <v>441.30518831297212</v>
      </c>
      <c r="CE132" s="62">
        <f t="shared" si="94"/>
        <v>270.42872405271851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66.867110110063848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-1.1368683772161603E-13</v>
      </c>
      <c r="CU132" s="18">
        <f>CT132*VLOOKUP('Données projet'!$B$13,Paramètres!$A$1:$I$89,3,0)*VLOOKUP('Données projet'!$B$13,Paramètres!$A$1:$I$89,5,0)</f>
        <v>-9.9316821433603781E-14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310.81258463659196</v>
      </c>
      <c r="CZ132" s="62">
        <f t="shared" si="96"/>
        <v>287.31099756692083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66.867110110063848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2.1367521367521363</v>
      </c>
      <c r="DO132" s="13">
        <f>IF('Données projet'!$A$166&gt;35,DO131+DN132-DW131,IF(A132&lt;'Données projet'!$A$166,$DL$205^A132,IF(A132='Données projet'!$A$166,'Données projet'!$B$166,DO131+DN132-DW131)))</f>
        <v>263.24786324786322</v>
      </c>
      <c r="DP132" s="18">
        <f>DO132*VLOOKUP('Données projet'!$B$14,Paramètres!$A$1:$I$89,3,0)*VLOOKUP('Données projet'!$B$14,Paramètres!$A$1:$I$89,5,0)</f>
        <v>275.14666666666665</v>
      </c>
      <c r="DQ132" s="14">
        <f t="shared" si="97"/>
        <v>65.940318620544417</v>
      </c>
      <c r="DR132" s="22">
        <f t="shared" ref="DR132:DR153" si="124">(DP132+DQ132)*0.475*44/12</f>
        <v>594.05983270855927</v>
      </c>
      <c r="DS132" s="62">
        <f t="shared" ref="DS132:DS195" si="125">DR132+(DJ132+DK132)*44/12</f>
        <v>875.90590311212668</v>
      </c>
      <c r="DT132" s="62">
        <f ca="1">AVERAGE(OFFSET($DS$3,0,0,'Données projet'!$E$14+1,1))-AVERAGE(OFFSET($H$3,0,0,'Données projet'!$E$14+1,1))</f>
        <v>431.19274104373625</v>
      </c>
      <c r="DU132" s="62">
        <f t="shared" si="98"/>
        <v>264.67919175178133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66.867110110063848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-6.2527760746888816E-13</v>
      </c>
      <c r="EK132" s="18">
        <f>EJ132*VLOOKUP('Données projet'!$B$15,Paramètres!$A$1:$I$89,3,0)*VLOOKUP('Données projet'!$B$15,Paramètres!$A$1:$I$89,5,0)</f>
        <v>-2.9262992029543964E-13</v>
      </c>
      <c r="EL132" s="14" t="e">
        <f t="shared" si="99"/>
        <v>#NUM!</v>
      </c>
      <c r="EM132" s="22" t="e">
        <f t="shared" ref="EM132:EM153" si="127">(EK132+EL132)*0.475*44/12</f>
        <v>#NUM!</v>
      </c>
      <c r="EN132" s="62" t="e">
        <f t="shared" ref="EN132:EN195" si="128">EM132+(EE132+EF132)*44/12</f>
        <v>#NUM!</v>
      </c>
      <c r="EO132" s="62">
        <f ca="1">AVERAGE(OFFSET($EN$3,0,0,'Données projet'!$E$15+1,1))-AVERAGE(OFFSET($H$3,0,0,'Données projet'!$E$15+1,1))</f>
        <v>291.68530745507815</v>
      </c>
      <c r="EP132" s="62">
        <f t="shared" si="100"/>
        <v>175.95121106728979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0</v>
      </c>
      <c r="EZ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66.867110110063848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-1.1368683772161603E-13</v>
      </c>
      <c r="FF132" s="18">
        <f>FE132*VLOOKUP('Données projet'!$B$16,Paramètres!$A$1:$I$89,3,0)*VLOOKUP('Données projet'!$B$16,Paramètres!$A$1:$I$89,5,0)</f>
        <v>-7.4487616075202823E-14</v>
      </c>
      <c r="FG132" s="14" t="e">
        <f t="shared" si="101"/>
        <v>#NUM!</v>
      </c>
      <c r="FH132" s="22" t="e">
        <f t="shared" ref="FH132:FH153" si="130">(FF132+FG132)*0.475*44/12</f>
        <v>#NUM!</v>
      </c>
      <c r="FI132" s="62" t="e">
        <f t="shared" ref="FI132:FI195" si="131">FH132+(EZ132+FA132)*44/12</f>
        <v>#NUM!</v>
      </c>
      <c r="FJ132" s="62">
        <f ca="1">AVERAGE(OFFSET($FI$3,0,0,'Données projet'!$E$16+1,1))-AVERAGE(OFFSET($H$3,0,0,'Données projet'!$E$16+1,1))</f>
        <v>248.75689726928428</v>
      </c>
      <c r="FK132" s="62">
        <f t="shared" si="102"/>
        <v>232.02291680388336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projet'!$B$16,Paramètres!$A$1:$I$89,3,0)*0.475*44/12</f>
        <v>0</v>
      </c>
      <c r="FR132" s="23">
        <f>EXP(-LN(2)/25)*FR131+(1-EXP(-LN(2)/25))/(LN(2)/25)*Calculateur!FM132*Calculateur!FO132*VLOOKUP('Données projet'!$B$16,Paramètres!$A$1:$I$89,3,0)*0.475*44/12</f>
        <v>0</v>
      </c>
      <c r="FS132" s="23">
        <f>EXP(-LN(2)/2)*FS131+(1-EXP(-LN(2)/2))/(LN(2)/2)*FM132*FP132*VLOOKUP('Données projet'!$B$16,Paramètres!$A$1:$I$89,3,0)*0.475*44/12</f>
        <v>0</v>
      </c>
      <c r="FT132" s="24">
        <f t="shared" ref="FT132:FT153" si="132">SUM(FQ132:FS132)</f>
        <v>0</v>
      </c>
      <c r="FU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66.867110110063848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5.1159076974727213E-13</v>
      </c>
      <c r="GA132" s="18">
        <f>FZ132*VLOOKUP('Données projet'!$B$17,Paramètres!$A$1:$I$89,3,0)*VLOOKUP('Données projet'!$B$17,Paramètres!$A$1:$I$89,5,0)</f>
        <v>3.0593128030886877E-13</v>
      </c>
      <c r="GB132" s="14">
        <f t="shared" si="103"/>
        <v>4.0350537939347394E-12</v>
      </c>
      <c r="GC132" s="22">
        <f t="shared" ref="GC132:GC153" si="133">(GA132+GB132)*0.475*44/12</f>
        <v>7.5605490043076185E-12</v>
      </c>
      <c r="GD132" s="62">
        <f t="shared" ref="GD132:GD195" si="134">GC132+(FU132+FV132)*44/12</f>
        <v>281.84607040357503</v>
      </c>
      <c r="GE132" s="62">
        <f ca="1">AVERAGE(OFFSET($GD$3,0,0,'Données projet'!$E$17+1,1))-AVERAGE(OFFSET($H$3,0,0,'Données projet'!$E$17+1,1))</f>
        <v>315.909549580511</v>
      </c>
      <c r="GF132" s="62">
        <f t="shared" si="104"/>
        <v>208.56856525402051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projet'!$B$17,Paramètres!$A$1:$I$89,3,0)*0.475*44/12</f>
        <v>0</v>
      </c>
      <c r="GM132" s="23">
        <f>EXP(-LN(2)/25)*GM131+(1-EXP(-LN(2)/25))/(LN(2)/25)*Calculateur!GH132*Calculateur!GJ132*VLOOKUP('Données projet'!$B$17,Paramètres!$A$1:$I$89,3,0)*0.475*44/12</f>
        <v>0</v>
      </c>
      <c r="GN132" s="23">
        <f>EXP(-LN(2)/2)*GN131+(1-EXP(-LN(2)/2))/(LN(2)/2)*GH132*GK132*VLOOKUP('Données projet'!$B$17,Paramètres!$A$1:$I$89,3,0)*0.475*44/12</f>
        <v>0</v>
      </c>
      <c r="GO132" s="23">
        <f t="shared" ref="GO132:GO153" si="135">SUM(GL132:GN132)</f>
        <v>0</v>
      </c>
      <c r="GP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66.867110110063848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1.1368683772161603E-13</v>
      </c>
      <c r="GV132" s="18">
        <f>GU132*VLOOKUP('Données projet'!$B$18,Paramètres!$A$1:$I$89,3,0)*VLOOKUP('Données projet'!$B$18,Paramètres!$A$1:$I$89,5,0)</f>
        <v>7.626113074366004E-14</v>
      </c>
      <c r="GW132" s="14">
        <f t="shared" si="105"/>
        <v>1.1823749172251317E-12</v>
      </c>
      <c r="GX132" s="22">
        <f t="shared" ref="GX132:GX153" si="136">(GV132+GW132)*0.475*44/12</f>
        <v>2.1921244502123119E-12</v>
      </c>
      <c r="GY132" s="62">
        <f t="shared" ref="GY132:GY195" si="137">GX132+(GP132+GQ132)*44/12</f>
        <v>281.84607040356968</v>
      </c>
      <c r="GZ132" s="62">
        <f ca="1">AVERAGE(OFFSET($GY$3,0,0,'Données projet'!$E$18+1,1))-AVERAGE(OFFSET($H$3,0,0,'Données projet'!$E$18+1,1))</f>
        <v>254.35742752782755</v>
      </c>
      <c r="HA132" s="62">
        <f t="shared" si="106"/>
        <v>171.79611712137395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>
        <f>EXP(-LN(2)/35)*HG131+(1-EXP(-LN(2)/35))/(LN(2)/35)*HC132*HD132*VLOOKUP('Données projet'!$B$18,Paramètres!$A$1:$I$89,3,0)*0.475*44/12</f>
        <v>0</v>
      </c>
      <c r="HH132" s="23">
        <f>EXP(-LN(2)/25)*HH131+(1-EXP(-LN(2)/25))/(LN(2)/25)*Calculateur!HC132*Calculateur!HE132*VLOOKUP('Données projet'!$B$18,Paramètres!$A$1:$I$89,3,0)*0.475*44/12</f>
        <v>0</v>
      </c>
      <c r="HI132" s="23">
        <f>EXP(-LN(2)/2)*HI131+(1-EXP(-LN(2)/2))/(LN(2)/2)*HC132*HF132*VLOOKUP('Données projet'!$B$18,Paramètres!$A$1:$I$89,3,0)*0.475*44/12</f>
        <v>0</v>
      </c>
      <c r="HJ132" s="24">
        <f t="shared" ref="HJ132:HJ153" si="138">SUM(HG132:HI132)</f>
        <v>0</v>
      </c>
    </row>
    <row r="133" spans="1:218" s="5" customFormat="1" x14ac:dyDescent="0.3">
      <c r="A133" s="11">
        <f t="shared" ref="A133:A152" si="139">A132+1</f>
        <v>130</v>
      </c>
      <c r="B133" s="76">
        <f>'Scénario référence'!$B$16*5+'Scénario référence'!$B$17*0+'Scénario référence'!$B$18*5</f>
        <v>3.9405000000000001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14.448500000000001</v>
      </c>
      <c r="H133" s="69">
        <f t="shared" si="110"/>
        <v>161.30656666666667</v>
      </c>
      <c r="I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66.921458745561736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210.54472399593521</v>
      </c>
      <c r="T133" s="62">
        <f t="shared" ref="T133:T196" si="142">$T$3</f>
        <v>181.14158435194193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66.921458745561736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289.05608923588198</v>
      </c>
      <c r="AO133" s="62">
        <f t="shared" ref="AO133:AO196" si="144">$AO$3</f>
        <v>220.06639020312738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66.921458745561736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>
        <f>VLOOKUP(A133,'Données projet'!$A$87:$I$107,2,0)</f>
        <v>124.24166666666667</v>
      </c>
      <c r="BB133" s="13">
        <f>VLOOKUP(A133,'Données projet'!$A$87:$I$107,9,0)</f>
        <v>1.2474999999999994</v>
      </c>
      <c r="BC133" s="13">
        <f t="array" ref="BC133">INDEX(BB:BB,MIN(IF(ISNUMBER(BB133:BB329),ROW(BB133:BB329),"")))</f>
        <v>1.2474999999999994</v>
      </c>
      <c r="BD133" s="13">
        <f>IF('Données projet'!$A$88&gt;35,BD132+BC133-BL132,IF(A133&lt;'Données projet'!$A$88,$BA$205^A133,IF(A133='Données projet'!$A$88,'Données projet'!$B$88,BD132+BC133-BL132)))</f>
        <v>124.24166666666665</v>
      </c>
      <c r="BE133" s="14">
        <f>BD133*VLOOKUP('Données projet'!$B$11,Paramètres!$A$1:$I$89,3,0)*VLOOKUP('Données projet'!$B$11,Paramètres!$A$1:$I$89,5,0)</f>
        <v>143.12639999999996</v>
      </c>
      <c r="BF133" s="14">
        <f t="shared" ref="BF133:BF153" si="145">EXP(-1.0587+0.8836*LN(BE133)+0.284)</f>
        <v>37.012296622173274</v>
      </c>
      <c r="BG133" s="22">
        <f t="shared" si="115"/>
        <v>313.74156328361835</v>
      </c>
      <c r="BH133" s="62">
        <f t="shared" si="116"/>
        <v>595.78691201734478</v>
      </c>
      <c r="BI133" s="62">
        <f ca="1">AVERAGE(OFFSET($BH$3,0,0,'Données projet'!$E$11+1,1))-AVERAGE(OFFSET($H$3,0,0,'Données projet'!$E$11+1,1))</f>
        <v>299.54950406029354</v>
      </c>
      <c r="BJ133" s="62">
        <f t="shared" ref="BJ133:BJ196" si="146">$BJ$3</f>
        <v>208.26364698165739</v>
      </c>
      <c r="BK133" s="16">
        <f>IF(ISNA(VLOOKUP(A133,'Données projet'!$A$87:$I$107,3,0)),0,VLOOKUP(A133,'Données projet'!$A$87:$I$107,3,0))</f>
        <v>11</v>
      </c>
      <c r="BL133" s="16">
        <f>IF(ISNA(VLOOKUP(A133,'Données projet'!$A$87:$I$107,4,0)),0,VLOOKUP(A133,'Données projet'!$A$87:$I$107,4,0))</f>
        <v>8.7083333333333339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66.921458745561736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>
        <f>VLOOKUP(A133,'Données projet'!$A$113:$I$133,2,0)</f>
        <v>265.38461538461536</v>
      </c>
      <c r="BW133" s="13">
        <f>VLOOKUP(A133,'Données projet'!$A$113:$I$133,9,0)</f>
        <v>2.1367521367521363</v>
      </c>
      <c r="BX133" s="13">
        <f t="array" ref="BX133">INDEX(BW:BW,MIN(IF(ISNUMBER(BW133:BW329),ROW(BW133:BW329),"")))</f>
        <v>2.1367521367521363</v>
      </c>
      <c r="BY133" s="13">
        <f>IF('Données projet'!$A$114&gt;35,BY132+BX133-CG132,IF(A133&lt;'Données projet'!$A$114,$BV$205^A133,IF(A133='Données projet'!$A$114,'Données projet'!$B$114,BY132+BX133-CG132)))</f>
        <v>265.38461538461536</v>
      </c>
      <c r="BZ133" s="14">
        <f>BY133*VLOOKUP('Données projet'!$B$12,Paramètres!$A$1:$I$89,3,0)*VLOOKUP('Données projet'!$B$12,Paramètres!$A$1:$I$89,5,0)</f>
        <v>285.65999999999997</v>
      </c>
      <c r="CA133" s="14">
        <f t="shared" ref="CA133:CA153" si="147">EXP(-1.0587+0.8836*LN(BZ133)+0.284)</f>
        <v>68.16173285875432</v>
      </c>
      <c r="CB133" s="22">
        <f t="shared" si="118"/>
        <v>616.23951806233038</v>
      </c>
      <c r="CC133" s="62">
        <f t="shared" si="119"/>
        <v>898.2848667960568</v>
      </c>
      <c r="CD133" s="62">
        <f ca="1">AVERAGE(OFFSET($CC$3,0,0,'Données projet'!$E$12+1,1))-AVERAGE(OFFSET($H$3,0,0,'Données projet'!$E$12+1,1))</f>
        <v>441.30518831297212</v>
      </c>
      <c r="CE133" s="62">
        <f t="shared" ref="CE133:CE196" si="148">$CE$3</f>
        <v>270.42872405271851</v>
      </c>
      <c r="CF133" s="16">
        <f>IF(ISNA(VLOOKUP(A133,'Données projet'!$A$113:$I$133,3,0)),0,VLOOKUP(A133,'Données projet'!$A$113:$I$133,3,0))</f>
        <v>10</v>
      </c>
      <c r="CG133" s="16">
        <f>IF(ISNA(VLOOKUP(A133,'Données projet'!$A$113:$I$133,4,0)),0,VLOOKUP(A133,'Données projet'!$A$113:$I$133,4,0))</f>
        <v>265.38461538461536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66.921458745561736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-1.1368683772161603E-13</v>
      </c>
      <c r="CU133" s="18">
        <f>CT133*VLOOKUP('Données projet'!$B$13,Paramètres!$A$1:$I$89,3,0)*VLOOKUP('Données projet'!$B$13,Paramètres!$A$1:$I$89,5,0)</f>
        <v>-9.9316821433603781E-14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310.81258463659196</v>
      </c>
      <c r="CZ133" s="62">
        <f t="shared" ref="CZ133:CZ196" si="150">$CZ$3</f>
        <v>287.31099756692083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66.921458745561736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>
        <f>VLOOKUP(A133,'Données projet'!$A$165:$I$185,2,0)</f>
        <v>265.38461538461536</v>
      </c>
      <c r="DM133" s="13">
        <f>VLOOKUP(A133,'Données projet'!$A$165:$I$185,9,0)</f>
        <v>2.1367521367521363</v>
      </c>
      <c r="DN133" s="13">
        <f t="array" ref="DN133">INDEX(DM:DM,MIN(IF(ISNUMBER(DM133:DM329),ROW(DM133:DM329),"")))</f>
        <v>2.1367521367521363</v>
      </c>
      <c r="DO133" s="13">
        <f>IF('Données projet'!$A$166&gt;35,DO132+DN133-DW132,IF(A133&lt;'Données projet'!$A$166,$DL$205^A133,IF(A133='Données projet'!$A$166,'Données projet'!$B$166,DO132+DN133-DW132)))</f>
        <v>265.38461538461536</v>
      </c>
      <c r="DP133" s="18">
        <f>DO133*VLOOKUP('Données projet'!$B$14,Paramètres!$A$1:$I$89,3,0)*VLOOKUP('Données projet'!$B$14,Paramètres!$A$1:$I$89,5,0)</f>
        <v>277.38</v>
      </c>
      <c r="DQ133" s="14">
        <f t="shared" ref="DQ133:DQ153" si="151">EXP(-1.0587+0.8836*LN(DP133)+0.284)</f>
        <v>66.413024982910031</v>
      </c>
      <c r="DR133" s="22">
        <f t="shared" si="124"/>
        <v>598.77285184523487</v>
      </c>
      <c r="DS133" s="62">
        <f t="shared" si="125"/>
        <v>880.8182005789613</v>
      </c>
      <c r="DT133" s="62">
        <f ca="1">AVERAGE(OFFSET($DS$3,0,0,'Données projet'!$E$14+1,1))-AVERAGE(OFFSET($H$3,0,0,'Données projet'!$E$14+1,1))</f>
        <v>431.19274104373625</v>
      </c>
      <c r="DU133" s="62">
        <f t="shared" ref="DU133:DU196" si="152">$DU$3</f>
        <v>264.67919175178133</v>
      </c>
      <c r="DV133" s="16">
        <f>IF(ISNA(VLOOKUP(A133,'Données projet'!$A$165:$I$185,3,0)),0,VLOOKUP(A133,'Données projet'!$A$165:$I$185,3,0))</f>
        <v>10</v>
      </c>
      <c r="DW133" s="16">
        <f>IF(ISNA(VLOOKUP(A133,'Données projet'!$A$165:$I$185,4,0)),0,VLOOKUP(A133,'Données projet'!$A$165:$I$185,4,0))</f>
        <v>265.38461538461536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66.921458745561736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-6.2527760746888816E-13</v>
      </c>
      <c r="EK133" s="18">
        <f>EJ133*VLOOKUP('Données projet'!$B$15,Paramètres!$A$1:$I$89,3,0)*VLOOKUP('Données projet'!$B$15,Paramètres!$A$1:$I$89,5,0)</f>
        <v>-2.9262992029543964E-13</v>
      </c>
      <c r="EL133" s="14" t="e">
        <f t="shared" ref="EL133:EL153" si="153">EXP(-1.0587+0.8836*LN(EK133)+0.284)</f>
        <v>#NUM!</v>
      </c>
      <c r="EM133" s="22" t="e">
        <f t="shared" si="127"/>
        <v>#NUM!</v>
      </c>
      <c r="EN133" s="62" t="e">
        <f t="shared" si="128"/>
        <v>#NUM!</v>
      </c>
      <c r="EO133" s="62">
        <f ca="1">AVERAGE(OFFSET($EN$3,0,0,'Données projet'!$E$15+1,1))-AVERAGE(OFFSET($H$3,0,0,'Données projet'!$E$15+1,1))</f>
        <v>291.68530745507815</v>
      </c>
      <c r="EP133" s="62">
        <f t="shared" ref="EP133:EP196" si="154">$EP$3</f>
        <v>175.95121106728979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0</v>
      </c>
      <c r="EZ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66.921458745561736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-1.1368683772161603E-13</v>
      </c>
      <c r="FF133" s="18">
        <f>FE133*VLOOKUP('Données projet'!$B$16,Paramètres!$A$1:$I$89,3,0)*VLOOKUP('Données projet'!$B$16,Paramètres!$A$1:$I$89,5,0)</f>
        <v>-7.4487616075202823E-14</v>
      </c>
      <c r="FG133" s="14" t="e">
        <f t="shared" ref="FG133:FG153" si="155">EXP(-1.0587+0.8836*LN(FF133)+0.284)</f>
        <v>#NUM!</v>
      </c>
      <c r="FH133" s="22" t="e">
        <f t="shared" si="130"/>
        <v>#NUM!</v>
      </c>
      <c r="FI133" s="62" t="e">
        <f t="shared" si="131"/>
        <v>#NUM!</v>
      </c>
      <c r="FJ133" s="62">
        <f ca="1">AVERAGE(OFFSET($FI$3,0,0,'Données projet'!$E$16+1,1))-AVERAGE(OFFSET($H$3,0,0,'Données projet'!$E$16+1,1))</f>
        <v>248.75689726928428</v>
      </c>
      <c r="FK133" s="62">
        <f t="shared" ref="FK133:FK196" si="156">$FK$3</f>
        <v>232.02291680388336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projet'!$B$16,Paramètres!$A$1:$I$89,3,0)*0.475*44/12</f>
        <v>0</v>
      </c>
      <c r="FR133" s="23">
        <f>EXP(-LN(2)/25)*FR132+(1-EXP(-LN(2)/25))/(LN(2)/25)*Calculateur!FM133*Calculateur!FO133*VLOOKUP('Données projet'!$B$16,Paramètres!$A$1:$I$89,3,0)*0.475*44/12</f>
        <v>0</v>
      </c>
      <c r="FS133" s="23">
        <f>EXP(-LN(2)/2)*FS132+(1-EXP(-LN(2)/2))/(LN(2)/2)*FM133*FP133*VLOOKUP('Données projet'!$B$16,Paramètres!$A$1:$I$89,3,0)*0.475*44/12</f>
        <v>0</v>
      </c>
      <c r="FT133" s="24">
        <f t="shared" si="132"/>
        <v>0</v>
      </c>
      <c r="FU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66.921458745561736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5.1159076974727213E-13</v>
      </c>
      <c r="GA133" s="18">
        <f>FZ133*VLOOKUP('Données projet'!$B$17,Paramètres!$A$1:$I$89,3,0)*VLOOKUP('Données projet'!$B$17,Paramètres!$A$1:$I$89,5,0)</f>
        <v>3.0593128030886877E-13</v>
      </c>
      <c r="GB133" s="14">
        <f t="shared" ref="GB133:GB153" si="157">EXP(-1.0587+0.8836*LN(GA133)+0.284)</f>
        <v>4.0350537939347394E-12</v>
      </c>
      <c r="GC133" s="22">
        <f t="shared" si="133"/>
        <v>7.5605490043076185E-12</v>
      </c>
      <c r="GD133" s="62">
        <f t="shared" si="134"/>
        <v>282.04534873373393</v>
      </c>
      <c r="GE133" s="62">
        <f ca="1">AVERAGE(OFFSET($GD$3,0,0,'Données projet'!$E$17+1,1))-AVERAGE(OFFSET($H$3,0,0,'Données projet'!$E$17+1,1))</f>
        <v>315.909549580511</v>
      </c>
      <c r="GF133" s="62">
        <f t="shared" ref="GF133:GF196" si="158">$GF$3</f>
        <v>208.56856525402051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projet'!$B$17,Paramètres!$A$1:$I$89,3,0)*0.475*44/12</f>
        <v>0</v>
      </c>
      <c r="GM133" s="23">
        <f>EXP(-LN(2)/25)*GM132+(1-EXP(-LN(2)/25))/(LN(2)/25)*Calculateur!GH133*Calculateur!GJ133*VLOOKUP('Données projet'!$B$17,Paramètres!$A$1:$I$89,3,0)*0.475*44/12</f>
        <v>0</v>
      </c>
      <c r="GN133" s="23">
        <f>EXP(-LN(2)/2)*GN132+(1-EXP(-LN(2)/2))/(LN(2)/2)*GH133*GK133*VLOOKUP('Données projet'!$B$17,Paramètres!$A$1:$I$89,3,0)*0.475*44/12</f>
        <v>0</v>
      </c>
      <c r="GO133" s="23">
        <f t="shared" si="135"/>
        <v>0</v>
      </c>
      <c r="GP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66.921458745561736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1.1368683772161603E-13</v>
      </c>
      <c r="GV133" s="18">
        <f>GU133*VLOOKUP('Données projet'!$B$18,Paramètres!$A$1:$I$89,3,0)*VLOOKUP('Données projet'!$B$18,Paramètres!$A$1:$I$89,5,0)</f>
        <v>7.626113074366004E-14</v>
      </c>
      <c r="GW133" s="14">
        <f t="shared" ref="GW133:GW153" si="159">EXP(-1.0587+0.8836*LN(GV133)+0.284)</f>
        <v>1.1823749172251317E-12</v>
      </c>
      <c r="GX133" s="22">
        <f t="shared" si="136"/>
        <v>2.1921244502123119E-12</v>
      </c>
      <c r="GY133" s="62">
        <f t="shared" si="137"/>
        <v>282.04534873372859</v>
      </c>
      <c r="GZ133" s="62">
        <f ca="1">AVERAGE(OFFSET($GY$3,0,0,'Données projet'!$E$18+1,1))-AVERAGE(OFFSET($H$3,0,0,'Données projet'!$E$18+1,1))</f>
        <v>254.35742752782755</v>
      </c>
      <c r="HA133" s="62">
        <f t="shared" ref="HA133:HA196" si="160">$HA$3</f>
        <v>171.79611712137395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>
        <f>EXP(-LN(2)/35)*HG132+(1-EXP(-LN(2)/35))/(LN(2)/35)*HC133*HD133*VLOOKUP('Données projet'!$B$18,Paramètres!$A$1:$I$89,3,0)*0.475*44/12</f>
        <v>0</v>
      </c>
      <c r="HH133" s="23">
        <f>EXP(-LN(2)/25)*HH132+(1-EXP(-LN(2)/25))/(LN(2)/25)*Calculateur!HC133*Calculateur!HE133*VLOOKUP('Données projet'!$B$18,Paramètres!$A$1:$I$89,3,0)*0.475*44/12</f>
        <v>0</v>
      </c>
      <c r="HI133" s="23">
        <f>EXP(-LN(2)/2)*HI132+(1-EXP(-LN(2)/2))/(LN(2)/2)*HC133*HF133*VLOOKUP('Données projet'!$B$18,Paramètres!$A$1:$I$89,3,0)*0.475*44/12</f>
        <v>0</v>
      </c>
      <c r="HJ133" s="24">
        <f t="shared" si="138"/>
        <v>0</v>
      </c>
    </row>
    <row r="134" spans="1:218" s="5" customFormat="1" x14ac:dyDescent="0.3">
      <c r="A134" s="11">
        <f t="shared" si="139"/>
        <v>131</v>
      </c>
      <c r="B134" s="76">
        <f>'Scénario référence'!$B$16*5+'Scénario référence'!$B$17*0+'Scénario référence'!$B$18*5</f>
        <v>3.9405000000000001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14.448500000000001</v>
      </c>
      <c r="H134" s="69">
        <f t="shared" si="110"/>
        <v>161.30656666666667</v>
      </c>
      <c r="I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66.974864553739081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210.54472399593521</v>
      </c>
      <c r="T134" s="62">
        <f t="shared" si="142"/>
        <v>181.14158435194193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66.974864553739081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289.05608923588198</v>
      </c>
      <c r="AO134" s="62">
        <f t="shared" si="144"/>
        <v>220.06639020312738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66.974864553739081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1.1879166666666663</v>
      </c>
      <c r="BD134" s="13">
        <f>IF('Données projet'!$A$88&gt;35,BD133+BC134-BL133,IF(A134&lt;'Données projet'!$A$88,$BA$205^A134,IF(A134='Données projet'!$A$88,'Données projet'!$B$88,BD133+BC134-BL133)))</f>
        <v>116.72124999999998</v>
      </c>
      <c r="BE134" s="14">
        <f>BD134*VLOOKUP('Données projet'!$B$11,Paramètres!$A$1:$I$89,3,0)*VLOOKUP('Données projet'!$B$11,Paramètres!$A$1:$I$89,5,0)</f>
        <v>134.46287999999996</v>
      </c>
      <c r="BF134" s="14">
        <f t="shared" si="145"/>
        <v>35.02556530568927</v>
      </c>
      <c r="BG134" s="22">
        <f t="shared" si="115"/>
        <v>295.19237557407541</v>
      </c>
      <c r="BH134" s="62">
        <f t="shared" si="116"/>
        <v>577.43354560445209</v>
      </c>
      <c r="BI134" s="62">
        <f ca="1">AVERAGE(OFFSET($BH$3,0,0,'Données projet'!$E$11+1,1))-AVERAGE(OFFSET($H$3,0,0,'Données projet'!$E$11+1,1))</f>
        <v>299.54950406029354</v>
      </c>
      <c r="BJ134" s="62">
        <f t="shared" si="146"/>
        <v>208.26364698165739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66.974864553739081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>
        <f>BY134*VLOOKUP('Données projet'!$B$12,Paramètres!$A$1:$I$89,3,0)*VLOOKUP('Données projet'!$B$12,Paramètres!$A$1:$I$89,5,0)</f>
        <v>0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441.30518831297212</v>
      </c>
      <c r="CE134" s="62">
        <f t="shared" si="148"/>
        <v>270.42872405271851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66.974864553739081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-1.1368683772161603E-13</v>
      </c>
      <c r="CU134" s="18">
        <f>CT134*VLOOKUP('Données projet'!$B$13,Paramètres!$A$1:$I$89,3,0)*VLOOKUP('Données projet'!$B$13,Paramètres!$A$1:$I$89,5,0)</f>
        <v>-9.9316821433603781E-14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310.81258463659196</v>
      </c>
      <c r="CZ134" s="62">
        <f t="shared" si="150"/>
        <v>287.31099756692083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66.974864553739081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>
        <f>DO134*VLOOKUP('Données projet'!$B$14,Paramètres!$A$1:$I$89,3,0)*VLOOKUP('Données projet'!$B$14,Paramètres!$A$1:$I$89,5,0)</f>
        <v>0</v>
      </c>
      <c r="DQ134" s="14" t="e">
        <f t="shared" si="151"/>
        <v>#NUM!</v>
      </c>
      <c r="DR134" s="22" t="e">
        <f t="shared" si="124"/>
        <v>#NUM!</v>
      </c>
      <c r="DS134" s="62" t="e">
        <f t="shared" si="125"/>
        <v>#NUM!</v>
      </c>
      <c r="DT134" s="62">
        <f ca="1">AVERAGE(OFFSET($DS$3,0,0,'Données projet'!$E$14+1,1))-AVERAGE(OFFSET($H$3,0,0,'Données projet'!$E$14+1,1))</f>
        <v>431.19274104373625</v>
      </c>
      <c r="DU134" s="62">
        <f t="shared" si="152"/>
        <v>264.67919175178133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66.974864553739081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-6.2527760746888816E-13</v>
      </c>
      <c r="EK134" s="18">
        <f>EJ134*VLOOKUP('Données projet'!$B$15,Paramètres!$A$1:$I$89,3,0)*VLOOKUP('Données projet'!$B$15,Paramètres!$A$1:$I$89,5,0)</f>
        <v>-2.9262992029543964E-13</v>
      </c>
      <c r="EL134" s="14" t="e">
        <f t="shared" si="153"/>
        <v>#NUM!</v>
      </c>
      <c r="EM134" s="22" t="e">
        <f t="shared" si="127"/>
        <v>#NUM!</v>
      </c>
      <c r="EN134" s="62" t="e">
        <f t="shared" si="128"/>
        <v>#NUM!</v>
      </c>
      <c r="EO134" s="62">
        <f ca="1">AVERAGE(OFFSET($EN$3,0,0,'Données projet'!$E$15+1,1))-AVERAGE(OFFSET($H$3,0,0,'Données projet'!$E$15+1,1))</f>
        <v>291.68530745507815</v>
      </c>
      <c r="EP134" s="62">
        <f t="shared" si="154"/>
        <v>175.95121106728979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0</v>
      </c>
      <c r="EZ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66.974864553739081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-1.1368683772161603E-13</v>
      </c>
      <c r="FF134" s="18">
        <f>FE134*VLOOKUP('Données projet'!$B$16,Paramètres!$A$1:$I$89,3,0)*VLOOKUP('Données projet'!$B$16,Paramètres!$A$1:$I$89,5,0)</f>
        <v>-7.4487616075202823E-14</v>
      </c>
      <c r="FG134" s="14" t="e">
        <f t="shared" si="155"/>
        <v>#NUM!</v>
      </c>
      <c r="FH134" s="22" t="e">
        <f t="shared" si="130"/>
        <v>#NUM!</v>
      </c>
      <c r="FI134" s="62" t="e">
        <f t="shared" si="131"/>
        <v>#NUM!</v>
      </c>
      <c r="FJ134" s="62">
        <f ca="1">AVERAGE(OFFSET($FI$3,0,0,'Données projet'!$E$16+1,1))-AVERAGE(OFFSET($H$3,0,0,'Données projet'!$E$16+1,1))</f>
        <v>248.75689726928428</v>
      </c>
      <c r="FK134" s="62">
        <f t="shared" si="156"/>
        <v>232.02291680388336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projet'!$B$16,Paramètres!$A$1:$I$89,3,0)*0.475*44/12</f>
        <v>0</v>
      </c>
      <c r="FR134" s="23">
        <f>EXP(-LN(2)/25)*FR133+(1-EXP(-LN(2)/25))/(LN(2)/25)*Calculateur!FM134*Calculateur!FO134*VLOOKUP('Données projet'!$B$16,Paramètres!$A$1:$I$89,3,0)*0.475*44/12</f>
        <v>0</v>
      </c>
      <c r="FS134" s="23">
        <f>EXP(-LN(2)/2)*FS133+(1-EXP(-LN(2)/2))/(LN(2)/2)*FM134*FP134*VLOOKUP('Données projet'!$B$16,Paramètres!$A$1:$I$89,3,0)*0.475*44/12</f>
        <v>0</v>
      </c>
      <c r="FT134" s="24">
        <f t="shared" si="132"/>
        <v>0</v>
      </c>
      <c r="FU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66.974864553739081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5.1159076974727213E-13</v>
      </c>
      <c r="GA134" s="18">
        <f>FZ134*VLOOKUP('Données projet'!$B$17,Paramètres!$A$1:$I$89,3,0)*VLOOKUP('Données projet'!$B$17,Paramètres!$A$1:$I$89,5,0)</f>
        <v>3.0593128030886877E-13</v>
      </c>
      <c r="GB134" s="14">
        <f t="shared" si="157"/>
        <v>4.0350537939347394E-12</v>
      </c>
      <c r="GC134" s="22">
        <f t="shared" si="133"/>
        <v>7.5605490043076185E-12</v>
      </c>
      <c r="GD134" s="62">
        <f t="shared" si="134"/>
        <v>282.24117003038418</v>
      </c>
      <c r="GE134" s="62">
        <f ca="1">AVERAGE(OFFSET($GD$3,0,0,'Données projet'!$E$17+1,1))-AVERAGE(OFFSET($H$3,0,0,'Données projet'!$E$17+1,1))</f>
        <v>315.909549580511</v>
      </c>
      <c r="GF134" s="62">
        <f t="shared" si="158"/>
        <v>208.56856525402051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projet'!$B$17,Paramètres!$A$1:$I$89,3,0)*0.475*44/12</f>
        <v>0</v>
      </c>
      <c r="GM134" s="23">
        <f>EXP(-LN(2)/25)*GM133+(1-EXP(-LN(2)/25))/(LN(2)/25)*Calculateur!GH134*Calculateur!GJ134*VLOOKUP('Données projet'!$B$17,Paramètres!$A$1:$I$89,3,0)*0.475*44/12</f>
        <v>0</v>
      </c>
      <c r="GN134" s="23">
        <f>EXP(-LN(2)/2)*GN133+(1-EXP(-LN(2)/2))/(LN(2)/2)*GH134*GK134*VLOOKUP('Données projet'!$B$17,Paramètres!$A$1:$I$89,3,0)*0.475*44/12</f>
        <v>0</v>
      </c>
      <c r="GO134" s="23">
        <f t="shared" si="135"/>
        <v>0</v>
      </c>
      <c r="GP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66.974864553739081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1.1368683772161603E-13</v>
      </c>
      <c r="GV134" s="18">
        <f>GU134*VLOOKUP('Données projet'!$B$18,Paramètres!$A$1:$I$89,3,0)*VLOOKUP('Données projet'!$B$18,Paramètres!$A$1:$I$89,5,0)</f>
        <v>7.626113074366004E-14</v>
      </c>
      <c r="GW134" s="14">
        <f t="shared" si="159"/>
        <v>1.1823749172251317E-12</v>
      </c>
      <c r="GX134" s="22">
        <f t="shared" si="136"/>
        <v>2.1921244502123119E-12</v>
      </c>
      <c r="GY134" s="62">
        <f t="shared" si="137"/>
        <v>282.24117003037884</v>
      </c>
      <c r="GZ134" s="62">
        <f ca="1">AVERAGE(OFFSET($GY$3,0,0,'Données projet'!$E$18+1,1))-AVERAGE(OFFSET($H$3,0,0,'Données projet'!$E$18+1,1))</f>
        <v>254.35742752782755</v>
      </c>
      <c r="HA134" s="62">
        <f t="shared" si="160"/>
        <v>171.79611712137395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>
        <f>EXP(-LN(2)/35)*HG133+(1-EXP(-LN(2)/35))/(LN(2)/35)*HC134*HD134*VLOOKUP('Données projet'!$B$18,Paramètres!$A$1:$I$89,3,0)*0.475*44/12</f>
        <v>0</v>
      </c>
      <c r="HH134" s="23">
        <f>EXP(-LN(2)/25)*HH133+(1-EXP(-LN(2)/25))/(LN(2)/25)*Calculateur!HC134*Calculateur!HE134*VLOOKUP('Données projet'!$B$18,Paramètres!$A$1:$I$89,3,0)*0.475*44/12</f>
        <v>0</v>
      </c>
      <c r="HI134" s="23">
        <f>EXP(-LN(2)/2)*HI133+(1-EXP(-LN(2)/2))/(LN(2)/2)*HC134*HF134*VLOOKUP('Données projet'!$B$18,Paramètres!$A$1:$I$89,3,0)*0.475*44/12</f>
        <v>0</v>
      </c>
      <c r="HJ134" s="24">
        <f t="shared" si="138"/>
        <v>0</v>
      </c>
    </row>
    <row r="135" spans="1:218" s="5" customFormat="1" x14ac:dyDescent="0.3">
      <c r="A135" s="11">
        <f t="shared" si="139"/>
        <v>132</v>
      </c>
      <c r="B135" s="76">
        <f>'Scénario référence'!$B$16*5+'Scénario référence'!$B$17*0+'Scénario référence'!$B$18*5</f>
        <v>3.9405000000000001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14.448500000000001</v>
      </c>
      <c r="H135" s="69">
        <f t="shared" si="110"/>
        <v>161.30656666666667</v>
      </c>
      <c r="I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67.027343890542056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210.54472399593521</v>
      </c>
      <c r="T135" s="62">
        <f t="shared" si="142"/>
        <v>181.14158435194193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67.027343890542056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289.05608923588198</v>
      </c>
      <c r="AO135" s="62">
        <f t="shared" si="144"/>
        <v>220.06639020312738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67.027343890542056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1.1879166666666663</v>
      </c>
      <c r="BD135" s="13">
        <f>IF('Données projet'!$A$88&gt;35,BD134+BC135-BL134,IF(A135&lt;'Données projet'!$A$88,$BA$205^A135,IF(A135='Données projet'!$A$88,'Données projet'!$B$88,BD134+BC135-BL134)))</f>
        <v>117.90916666666665</v>
      </c>
      <c r="BE135" s="14">
        <f>BD135*VLOOKUP('Données projet'!$B$11,Paramètres!$A$1:$I$89,3,0)*VLOOKUP('Données projet'!$B$11,Paramètres!$A$1:$I$89,5,0)</f>
        <v>135.83135999999996</v>
      </c>
      <c r="BF135" s="14">
        <f t="shared" si="145"/>
        <v>35.340355037002603</v>
      </c>
      <c r="BG135" s="22">
        <f t="shared" si="115"/>
        <v>298.12407035611278</v>
      </c>
      <c r="BH135" s="62">
        <f t="shared" si="116"/>
        <v>580.55766462143367</v>
      </c>
      <c r="BI135" s="62">
        <f ca="1">AVERAGE(OFFSET($BH$3,0,0,'Données projet'!$E$11+1,1))-AVERAGE(OFFSET($H$3,0,0,'Données projet'!$E$11+1,1))</f>
        <v>299.54950406029354</v>
      </c>
      <c r="BJ135" s="62">
        <f t="shared" si="146"/>
        <v>208.26364698165739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67.027343890542056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>
        <f>BY135*VLOOKUP('Données projet'!$B$12,Paramètres!$A$1:$I$89,3,0)*VLOOKUP('Données projet'!$B$12,Paramètres!$A$1:$I$89,5,0)</f>
        <v>0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441.30518831297212</v>
      </c>
      <c r="CE135" s="62">
        <f t="shared" si="148"/>
        <v>270.42872405271851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67.027343890542056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-1.1368683772161603E-13</v>
      </c>
      <c r="CU135" s="18">
        <f>CT135*VLOOKUP('Données projet'!$B$13,Paramètres!$A$1:$I$89,3,0)*VLOOKUP('Données projet'!$B$13,Paramètres!$A$1:$I$89,5,0)</f>
        <v>-9.9316821433603781E-14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310.81258463659196</v>
      </c>
      <c r="CZ135" s="62">
        <f t="shared" si="150"/>
        <v>287.31099756692083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67.027343890542056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>
        <f>DO135*VLOOKUP('Données projet'!$B$14,Paramètres!$A$1:$I$89,3,0)*VLOOKUP('Données projet'!$B$14,Paramètres!$A$1:$I$89,5,0)</f>
        <v>0</v>
      </c>
      <c r="DQ135" s="14" t="e">
        <f t="shared" si="151"/>
        <v>#NUM!</v>
      </c>
      <c r="DR135" s="22" t="e">
        <f t="shared" si="124"/>
        <v>#NUM!</v>
      </c>
      <c r="DS135" s="62" t="e">
        <f t="shared" si="125"/>
        <v>#NUM!</v>
      </c>
      <c r="DT135" s="62">
        <f ca="1">AVERAGE(OFFSET($DS$3,0,0,'Données projet'!$E$14+1,1))-AVERAGE(OFFSET($H$3,0,0,'Données projet'!$E$14+1,1))</f>
        <v>431.19274104373625</v>
      </c>
      <c r="DU135" s="62">
        <f t="shared" si="152"/>
        <v>264.67919175178133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67.027343890542056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-6.2527760746888816E-13</v>
      </c>
      <c r="EK135" s="18">
        <f>EJ135*VLOOKUP('Données projet'!$B$15,Paramètres!$A$1:$I$89,3,0)*VLOOKUP('Données projet'!$B$15,Paramètres!$A$1:$I$89,5,0)</f>
        <v>-2.9262992029543964E-13</v>
      </c>
      <c r="EL135" s="14" t="e">
        <f t="shared" si="153"/>
        <v>#NUM!</v>
      </c>
      <c r="EM135" s="22" t="e">
        <f t="shared" si="127"/>
        <v>#NUM!</v>
      </c>
      <c r="EN135" s="62" t="e">
        <f t="shared" si="128"/>
        <v>#NUM!</v>
      </c>
      <c r="EO135" s="62">
        <f ca="1">AVERAGE(OFFSET($EN$3,0,0,'Données projet'!$E$15+1,1))-AVERAGE(OFFSET($H$3,0,0,'Données projet'!$E$15+1,1))</f>
        <v>291.68530745507815</v>
      </c>
      <c r="EP135" s="62">
        <f t="shared" si="154"/>
        <v>175.95121106728979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0</v>
      </c>
      <c r="EZ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67.027343890542056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-1.1368683772161603E-13</v>
      </c>
      <c r="FF135" s="18">
        <f>FE135*VLOOKUP('Données projet'!$B$16,Paramètres!$A$1:$I$89,3,0)*VLOOKUP('Données projet'!$B$16,Paramètres!$A$1:$I$89,5,0)</f>
        <v>-7.4487616075202823E-14</v>
      </c>
      <c r="FG135" s="14" t="e">
        <f t="shared" si="155"/>
        <v>#NUM!</v>
      </c>
      <c r="FH135" s="22" t="e">
        <f t="shared" si="130"/>
        <v>#NUM!</v>
      </c>
      <c r="FI135" s="62" t="e">
        <f t="shared" si="131"/>
        <v>#NUM!</v>
      </c>
      <c r="FJ135" s="62">
        <f ca="1">AVERAGE(OFFSET($FI$3,0,0,'Données projet'!$E$16+1,1))-AVERAGE(OFFSET($H$3,0,0,'Données projet'!$E$16+1,1))</f>
        <v>248.75689726928428</v>
      </c>
      <c r="FK135" s="62">
        <f t="shared" si="156"/>
        <v>232.02291680388336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projet'!$B$16,Paramètres!$A$1:$I$89,3,0)*0.475*44/12</f>
        <v>0</v>
      </c>
      <c r="FR135" s="23">
        <f>EXP(-LN(2)/25)*FR134+(1-EXP(-LN(2)/25))/(LN(2)/25)*Calculateur!FM135*Calculateur!FO135*VLOOKUP('Données projet'!$B$16,Paramètres!$A$1:$I$89,3,0)*0.475*44/12</f>
        <v>0</v>
      </c>
      <c r="FS135" s="23">
        <f>EXP(-LN(2)/2)*FS134+(1-EXP(-LN(2)/2))/(LN(2)/2)*FM135*FP135*VLOOKUP('Données projet'!$B$16,Paramètres!$A$1:$I$89,3,0)*0.475*44/12</f>
        <v>0</v>
      </c>
      <c r="FT135" s="24">
        <f t="shared" si="132"/>
        <v>0</v>
      </c>
      <c r="FU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67.027343890542056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5.1159076974727213E-13</v>
      </c>
      <c r="GA135" s="18">
        <f>FZ135*VLOOKUP('Données projet'!$B$17,Paramètres!$A$1:$I$89,3,0)*VLOOKUP('Données projet'!$B$17,Paramètres!$A$1:$I$89,5,0)</f>
        <v>3.0593128030886877E-13</v>
      </c>
      <c r="GB135" s="14">
        <f t="shared" si="157"/>
        <v>4.0350537939347394E-12</v>
      </c>
      <c r="GC135" s="22">
        <f t="shared" si="133"/>
        <v>7.5605490043076185E-12</v>
      </c>
      <c r="GD135" s="62">
        <f t="shared" si="134"/>
        <v>282.43359426532845</v>
      </c>
      <c r="GE135" s="62">
        <f ca="1">AVERAGE(OFFSET($GD$3,0,0,'Données projet'!$E$17+1,1))-AVERAGE(OFFSET($H$3,0,0,'Données projet'!$E$17+1,1))</f>
        <v>315.909549580511</v>
      </c>
      <c r="GF135" s="62">
        <f t="shared" si="158"/>
        <v>208.56856525402051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projet'!$B$17,Paramètres!$A$1:$I$89,3,0)*0.475*44/12</f>
        <v>0</v>
      </c>
      <c r="GM135" s="23">
        <f>EXP(-LN(2)/25)*GM134+(1-EXP(-LN(2)/25))/(LN(2)/25)*Calculateur!GH135*Calculateur!GJ135*VLOOKUP('Données projet'!$B$17,Paramètres!$A$1:$I$89,3,0)*0.475*44/12</f>
        <v>0</v>
      </c>
      <c r="GN135" s="23">
        <f>EXP(-LN(2)/2)*GN134+(1-EXP(-LN(2)/2))/(LN(2)/2)*GH135*GK135*VLOOKUP('Données projet'!$B$17,Paramètres!$A$1:$I$89,3,0)*0.475*44/12</f>
        <v>0</v>
      </c>
      <c r="GO135" s="23">
        <f t="shared" si="135"/>
        <v>0</v>
      </c>
      <c r="GP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67.027343890542056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1.1368683772161603E-13</v>
      </c>
      <c r="GV135" s="18">
        <f>GU135*VLOOKUP('Données projet'!$B$18,Paramètres!$A$1:$I$89,3,0)*VLOOKUP('Données projet'!$B$18,Paramètres!$A$1:$I$89,5,0)</f>
        <v>7.626113074366004E-14</v>
      </c>
      <c r="GW135" s="14">
        <f t="shared" si="159"/>
        <v>1.1823749172251317E-12</v>
      </c>
      <c r="GX135" s="22">
        <f t="shared" si="136"/>
        <v>2.1921244502123119E-12</v>
      </c>
      <c r="GY135" s="62">
        <f t="shared" si="137"/>
        <v>282.43359426532311</v>
      </c>
      <c r="GZ135" s="62">
        <f ca="1">AVERAGE(OFFSET($GY$3,0,0,'Données projet'!$E$18+1,1))-AVERAGE(OFFSET($H$3,0,0,'Données projet'!$E$18+1,1))</f>
        <v>254.35742752782755</v>
      </c>
      <c r="HA135" s="62">
        <f t="shared" si="160"/>
        <v>171.79611712137395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>
        <f>EXP(-LN(2)/35)*HG134+(1-EXP(-LN(2)/35))/(LN(2)/35)*HC135*HD135*VLOOKUP('Données projet'!$B$18,Paramètres!$A$1:$I$89,3,0)*0.475*44/12</f>
        <v>0</v>
      </c>
      <c r="HH135" s="23">
        <f>EXP(-LN(2)/25)*HH134+(1-EXP(-LN(2)/25))/(LN(2)/25)*Calculateur!HC135*Calculateur!HE135*VLOOKUP('Données projet'!$B$18,Paramètres!$A$1:$I$89,3,0)*0.475*44/12</f>
        <v>0</v>
      </c>
      <c r="HI135" s="23">
        <f>EXP(-LN(2)/2)*HI134+(1-EXP(-LN(2)/2))/(LN(2)/2)*HC135*HF135*VLOOKUP('Données projet'!$B$18,Paramètres!$A$1:$I$89,3,0)*0.475*44/12</f>
        <v>0</v>
      </c>
      <c r="HJ135" s="24">
        <f t="shared" si="138"/>
        <v>0</v>
      </c>
    </row>
    <row r="136" spans="1:218" s="5" customFormat="1" x14ac:dyDescent="0.3">
      <c r="A136" s="11">
        <f t="shared" si="139"/>
        <v>133</v>
      </c>
      <c r="B136" s="76">
        <f>'Scénario référence'!$B$16*5+'Scénario référence'!$B$17*0+'Scénario référence'!$B$18*5</f>
        <v>3.9405000000000001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14.448500000000001</v>
      </c>
      <c r="H136" s="69">
        <f t="shared" si="110"/>
        <v>161.30656666666667</v>
      </c>
      <c r="I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67.078912828177707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210.54472399593521</v>
      </c>
      <c r="T136" s="62">
        <f t="shared" si="142"/>
        <v>181.14158435194193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67.078912828177707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289.05608923588198</v>
      </c>
      <c r="AO136" s="62">
        <f t="shared" si="144"/>
        <v>220.06639020312738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67.078912828177707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1.1879166666666663</v>
      </c>
      <c r="BD136" s="13">
        <f>IF('Données projet'!$A$88&gt;35,BD135+BC136-BL135,IF(A136&lt;'Données projet'!$A$88,$BA$205^A136,IF(A136='Données projet'!$A$88,'Données projet'!$B$88,BD135+BC136-BL135)))</f>
        <v>119.09708333333332</v>
      </c>
      <c r="BE136" s="14">
        <f>BD136*VLOOKUP('Données projet'!$B$11,Paramètres!$A$1:$I$89,3,0)*VLOOKUP('Données projet'!$B$11,Paramètres!$A$1:$I$89,5,0)</f>
        <v>137.19983999999997</v>
      </c>
      <c r="BF136" s="14">
        <f t="shared" si="145"/>
        <v>35.65477582037844</v>
      </c>
      <c r="BG136" s="22">
        <f t="shared" si="115"/>
        <v>301.0551225538257</v>
      </c>
      <c r="BH136" s="62">
        <f t="shared" si="116"/>
        <v>583.67780292381065</v>
      </c>
      <c r="BI136" s="62">
        <f ca="1">AVERAGE(OFFSET($BH$3,0,0,'Données projet'!$E$11+1,1))-AVERAGE(OFFSET($H$3,0,0,'Données projet'!$E$11+1,1))</f>
        <v>299.54950406029354</v>
      </c>
      <c r="BJ136" s="62">
        <f t="shared" si="146"/>
        <v>208.26364698165739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67.078912828177707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>
        <f>BY136*VLOOKUP('Données projet'!$B$12,Paramètres!$A$1:$I$89,3,0)*VLOOKUP('Données projet'!$B$12,Paramètres!$A$1:$I$89,5,0)</f>
        <v>0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441.30518831297212</v>
      </c>
      <c r="CE136" s="62">
        <f t="shared" si="148"/>
        <v>270.42872405271851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67.078912828177707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-1.1368683772161603E-13</v>
      </c>
      <c r="CU136" s="18">
        <f>CT136*VLOOKUP('Données projet'!$B$13,Paramètres!$A$1:$I$89,3,0)*VLOOKUP('Données projet'!$B$13,Paramètres!$A$1:$I$89,5,0)</f>
        <v>-9.9316821433603781E-14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310.81258463659196</v>
      </c>
      <c r="CZ136" s="62">
        <f t="shared" si="150"/>
        <v>287.31099756692083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67.078912828177707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>
        <f>DO136*VLOOKUP('Données projet'!$B$14,Paramètres!$A$1:$I$89,3,0)*VLOOKUP('Données projet'!$B$14,Paramètres!$A$1:$I$89,5,0)</f>
        <v>0</v>
      </c>
      <c r="DQ136" s="14" t="e">
        <f t="shared" si="151"/>
        <v>#NUM!</v>
      </c>
      <c r="DR136" s="22" t="e">
        <f t="shared" si="124"/>
        <v>#NUM!</v>
      </c>
      <c r="DS136" s="62" t="e">
        <f t="shared" si="125"/>
        <v>#NUM!</v>
      </c>
      <c r="DT136" s="62">
        <f ca="1">AVERAGE(OFFSET($DS$3,0,0,'Données projet'!$E$14+1,1))-AVERAGE(OFFSET($H$3,0,0,'Données projet'!$E$14+1,1))</f>
        <v>431.19274104373625</v>
      </c>
      <c r="DU136" s="62">
        <f t="shared" si="152"/>
        <v>264.67919175178133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67.078912828177707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-6.2527760746888816E-13</v>
      </c>
      <c r="EK136" s="18">
        <f>EJ136*VLOOKUP('Données projet'!$B$15,Paramètres!$A$1:$I$89,3,0)*VLOOKUP('Données projet'!$B$15,Paramètres!$A$1:$I$89,5,0)</f>
        <v>-2.9262992029543964E-13</v>
      </c>
      <c r="EL136" s="14" t="e">
        <f t="shared" si="153"/>
        <v>#NUM!</v>
      </c>
      <c r="EM136" s="22" t="e">
        <f t="shared" si="127"/>
        <v>#NUM!</v>
      </c>
      <c r="EN136" s="62" t="e">
        <f t="shared" si="128"/>
        <v>#NUM!</v>
      </c>
      <c r="EO136" s="62">
        <f ca="1">AVERAGE(OFFSET($EN$3,0,0,'Données projet'!$E$15+1,1))-AVERAGE(OFFSET($H$3,0,0,'Données projet'!$E$15+1,1))</f>
        <v>291.68530745507815</v>
      </c>
      <c r="EP136" s="62">
        <f t="shared" si="154"/>
        <v>175.95121106728979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0</v>
      </c>
      <c r="EZ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67.078912828177707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-1.1368683772161603E-13</v>
      </c>
      <c r="FF136" s="18">
        <f>FE136*VLOOKUP('Données projet'!$B$16,Paramètres!$A$1:$I$89,3,0)*VLOOKUP('Données projet'!$B$16,Paramètres!$A$1:$I$89,5,0)</f>
        <v>-7.4487616075202823E-14</v>
      </c>
      <c r="FG136" s="14" t="e">
        <f t="shared" si="155"/>
        <v>#NUM!</v>
      </c>
      <c r="FH136" s="22" t="e">
        <f t="shared" si="130"/>
        <v>#NUM!</v>
      </c>
      <c r="FI136" s="62" t="e">
        <f t="shared" si="131"/>
        <v>#NUM!</v>
      </c>
      <c r="FJ136" s="62">
        <f ca="1">AVERAGE(OFFSET($FI$3,0,0,'Données projet'!$E$16+1,1))-AVERAGE(OFFSET($H$3,0,0,'Données projet'!$E$16+1,1))</f>
        <v>248.75689726928428</v>
      </c>
      <c r="FK136" s="62">
        <f t="shared" si="156"/>
        <v>232.02291680388336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projet'!$B$16,Paramètres!$A$1:$I$89,3,0)*0.475*44/12</f>
        <v>0</v>
      </c>
      <c r="FR136" s="23">
        <f>EXP(-LN(2)/25)*FR135+(1-EXP(-LN(2)/25))/(LN(2)/25)*Calculateur!FM136*Calculateur!FO136*VLOOKUP('Données projet'!$B$16,Paramètres!$A$1:$I$89,3,0)*0.475*44/12</f>
        <v>0</v>
      </c>
      <c r="FS136" s="23">
        <f>EXP(-LN(2)/2)*FS135+(1-EXP(-LN(2)/2))/(LN(2)/2)*FM136*FP136*VLOOKUP('Données projet'!$B$16,Paramètres!$A$1:$I$89,3,0)*0.475*44/12</f>
        <v>0</v>
      </c>
      <c r="FT136" s="24">
        <f t="shared" si="132"/>
        <v>0</v>
      </c>
      <c r="FU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67.078912828177707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5.1159076974727213E-13</v>
      </c>
      <c r="GA136" s="18">
        <f>FZ136*VLOOKUP('Données projet'!$B$17,Paramètres!$A$1:$I$89,3,0)*VLOOKUP('Données projet'!$B$17,Paramètres!$A$1:$I$89,5,0)</f>
        <v>3.0593128030886877E-13</v>
      </c>
      <c r="GB136" s="14">
        <f t="shared" si="157"/>
        <v>4.0350537939347394E-12</v>
      </c>
      <c r="GC136" s="22">
        <f t="shared" si="133"/>
        <v>7.5605490043076185E-12</v>
      </c>
      <c r="GD136" s="62">
        <f t="shared" si="134"/>
        <v>282.62268036999251</v>
      </c>
      <c r="GE136" s="62">
        <f ca="1">AVERAGE(OFFSET($GD$3,0,0,'Données projet'!$E$17+1,1))-AVERAGE(OFFSET($H$3,0,0,'Données projet'!$E$17+1,1))</f>
        <v>315.909549580511</v>
      </c>
      <c r="GF136" s="62">
        <f t="shared" si="158"/>
        <v>208.56856525402051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projet'!$B$17,Paramètres!$A$1:$I$89,3,0)*0.475*44/12</f>
        <v>0</v>
      </c>
      <c r="GM136" s="23">
        <f>EXP(-LN(2)/25)*GM135+(1-EXP(-LN(2)/25))/(LN(2)/25)*Calculateur!GH136*Calculateur!GJ136*VLOOKUP('Données projet'!$B$17,Paramètres!$A$1:$I$89,3,0)*0.475*44/12</f>
        <v>0</v>
      </c>
      <c r="GN136" s="23">
        <f>EXP(-LN(2)/2)*GN135+(1-EXP(-LN(2)/2))/(LN(2)/2)*GH136*GK136*VLOOKUP('Données projet'!$B$17,Paramètres!$A$1:$I$89,3,0)*0.475*44/12</f>
        <v>0</v>
      </c>
      <c r="GO136" s="23">
        <f t="shared" si="135"/>
        <v>0</v>
      </c>
      <c r="GP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67.078912828177707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1.1368683772161603E-13</v>
      </c>
      <c r="GV136" s="18">
        <f>GU136*VLOOKUP('Données projet'!$B$18,Paramètres!$A$1:$I$89,3,0)*VLOOKUP('Données projet'!$B$18,Paramètres!$A$1:$I$89,5,0)</f>
        <v>7.626113074366004E-14</v>
      </c>
      <c r="GW136" s="14">
        <f t="shared" si="159"/>
        <v>1.1823749172251317E-12</v>
      </c>
      <c r="GX136" s="22">
        <f t="shared" si="136"/>
        <v>2.1921244502123119E-12</v>
      </c>
      <c r="GY136" s="62">
        <f t="shared" si="137"/>
        <v>282.62268036998717</v>
      </c>
      <c r="GZ136" s="62">
        <f ca="1">AVERAGE(OFFSET($GY$3,0,0,'Données projet'!$E$18+1,1))-AVERAGE(OFFSET($H$3,0,0,'Données projet'!$E$18+1,1))</f>
        <v>254.35742752782755</v>
      </c>
      <c r="HA136" s="62">
        <f t="shared" si="160"/>
        <v>171.79611712137395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>
        <f>EXP(-LN(2)/35)*HG135+(1-EXP(-LN(2)/35))/(LN(2)/35)*HC136*HD136*VLOOKUP('Données projet'!$B$18,Paramètres!$A$1:$I$89,3,0)*0.475*44/12</f>
        <v>0</v>
      </c>
      <c r="HH136" s="23">
        <f>EXP(-LN(2)/25)*HH135+(1-EXP(-LN(2)/25))/(LN(2)/25)*Calculateur!HC136*Calculateur!HE136*VLOOKUP('Données projet'!$B$18,Paramètres!$A$1:$I$89,3,0)*0.475*44/12</f>
        <v>0</v>
      </c>
      <c r="HI136" s="23">
        <f>EXP(-LN(2)/2)*HI135+(1-EXP(-LN(2)/2))/(LN(2)/2)*HC136*HF136*VLOOKUP('Données projet'!$B$18,Paramètres!$A$1:$I$89,3,0)*0.475*44/12</f>
        <v>0</v>
      </c>
      <c r="HJ136" s="24">
        <f t="shared" si="138"/>
        <v>0</v>
      </c>
    </row>
    <row r="137" spans="1:218" s="5" customFormat="1" x14ac:dyDescent="0.3">
      <c r="A137" s="11">
        <f t="shared" si="139"/>
        <v>134</v>
      </c>
      <c r="B137" s="76">
        <f>'Scénario référence'!$B$16*5+'Scénario référence'!$B$17*0+'Scénario référence'!$B$18*5</f>
        <v>3.9405000000000001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14.448500000000001</v>
      </c>
      <c r="H137" s="69">
        <f t="shared" si="110"/>
        <v>161.30656666666667</v>
      </c>
      <c r="I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67.129587160036266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210.54472399593521</v>
      </c>
      <c r="T137" s="62">
        <f t="shared" si="142"/>
        <v>181.14158435194193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67.129587160036266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289.05608923588198</v>
      </c>
      <c r="AO137" s="62">
        <f t="shared" si="144"/>
        <v>220.06639020312738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67.129587160036266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1.1879166666666663</v>
      </c>
      <c r="BD137" s="13">
        <f>IF('Données projet'!$A$88&gt;35,BD136+BC137-BL136,IF(A137&lt;'Données projet'!$A$88,$BA$205^A137,IF(A137='Données projet'!$A$88,'Données projet'!$B$88,BD136+BC137-BL136)))</f>
        <v>120.28499999999998</v>
      </c>
      <c r="BE137" s="14">
        <f>BD137*VLOOKUP('Données projet'!$B$11,Paramètres!$A$1:$I$89,3,0)*VLOOKUP('Données projet'!$B$11,Paramètres!$A$1:$I$89,5,0)</f>
        <v>138.56831999999997</v>
      </c>
      <c r="BF137" s="14">
        <f t="shared" si="145"/>
        <v>35.968831761941608</v>
      </c>
      <c r="BG137" s="22">
        <f t="shared" si="115"/>
        <v>303.98553931871487</v>
      </c>
      <c r="BH137" s="62">
        <f t="shared" si="116"/>
        <v>586.79402557218123</v>
      </c>
      <c r="BI137" s="62">
        <f ca="1">AVERAGE(OFFSET($BH$3,0,0,'Données projet'!$E$11+1,1))-AVERAGE(OFFSET($H$3,0,0,'Données projet'!$E$11+1,1))</f>
        <v>299.54950406029354</v>
      </c>
      <c r="BJ137" s="62">
        <f t="shared" si="146"/>
        <v>208.26364698165739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67.129587160036266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>
        <f>BY137*VLOOKUP('Données projet'!$B$12,Paramètres!$A$1:$I$89,3,0)*VLOOKUP('Données projet'!$B$12,Paramètres!$A$1:$I$89,5,0)</f>
        <v>0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441.30518831297212</v>
      </c>
      <c r="CE137" s="62">
        <f t="shared" si="148"/>
        <v>270.42872405271851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67.129587160036266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-1.1368683772161603E-13</v>
      </c>
      <c r="CU137" s="18">
        <f>CT137*VLOOKUP('Données projet'!$B$13,Paramètres!$A$1:$I$89,3,0)*VLOOKUP('Données projet'!$B$13,Paramètres!$A$1:$I$89,5,0)</f>
        <v>-9.9316821433603781E-14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310.81258463659196</v>
      </c>
      <c r="CZ137" s="62">
        <f t="shared" si="150"/>
        <v>287.31099756692083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67.129587160036266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>
        <f>DO137*VLOOKUP('Données projet'!$B$14,Paramètres!$A$1:$I$89,3,0)*VLOOKUP('Données projet'!$B$14,Paramètres!$A$1:$I$89,5,0)</f>
        <v>0</v>
      </c>
      <c r="DQ137" s="14" t="e">
        <f t="shared" si="151"/>
        <v>#NUM!</v>
      </c>
      <c r="DR137" s="22" t="e">
        <f t="shared" si="124"/>
        <v>#NUM!</v>
      </c>
      <c r="DS137" s="62" t="e">
        <f t="shared" si="125"/>
        <v>#NUM!</v>
      </c>
      <c r="DT137" s="62">
        <f ca="1">AVERAGE(OFFSET($DS$3,0,0,'Données projet'!$E$14+1,1))-AVERAGE(OFFSET($H$3,0,0,'Données projet'!$E$14+1,1))</f>
        <v>431.19274104373625</v>
      </c>
      <c r="DU137" s="62">
        <f t="shared" si="152"/>
        <v>264.67919175178133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67.129587160036266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-6.2527760746888816E-13</v>
      </c>
      <c r="EK137" s="18">
        <f>EJ137*VLOOKUP('Données projet'!$B$15,Paramètres!$A$1:$I$89,3,0)*VLOOKUP('Données projet'!$B$15,Paramètres!$A$1:$I$89,5,0)</f>
        <v>-2.9262992029543964E-13</v>
      </c>
      <c r="EL137" s="14" t="e">
        <f t="shared" si="153"/>
        <v>#NUM!</v>
      </c>
      <c r="EM137" s="22" t="e">
        <f t="shared" si="127"/>
        <v>#NUM!</v>
      </c>
      <c r="EN137" s="62" t="e">
        <f t="shared" si="128"/>
        <v>#NUM!</v>
      </c>
      <c r="EO137" s="62">
        <f ca="1">AVERAGE(OFFSET($EN$3,0,0,'Données projet'!$E$15+1,1))-AVERAGE(OFFSET($H$3,0,0,'Données projet'!$E$15+1,1))</f>
        <v>291.68530745507815</v>
      </c>
      <c r="EP137" s="62">
        <f t="shared" si="154"/>
        <v>175.95121106728979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0</v>
      </c>
      <c r="EZ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67.129587160036266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-1.1368683772161603E-13</v>
      </c>
      <c r="FF137" s="18">
        <f>FE137*VLOOKUP('Données projet'!$B$16,Paramètres!$A$1:$I$89,3,0)*VLOOKUP('Données projet'!$B$16,Paramètres!$A$1:$I$89,5,0)</f>
        <v>-7.4487616075202823E-14</v>
      </c>
      <c r="FG137" s="14" t="e">
        <f t="shared" si="155"/>
        <v>#NUM!</v>
      </c>
      <c r="FH137" s="22" t="e">
        <f t="shared" si="130"/>
        <v>#NUM!</v>
      </c>
      <c r="FI137" s="62" t="e">
        <f t="shared" si="131"/>
        <v>#NUM!</v>
      </c>
      <c r="FJ137" s="62">
        <f ca="1">AVERAGE(OFFSET($FI$3,0,0,'Données projet'!$E$16+1,1))-AVERAGE(OFFSET($H$3,0,0,'Données projet'!$E$16+1,1))</f>
        <v>248.75689726928428</v>
      </c>
      <c r="FK137" s="62">
        <f t="shared" si="156"/>
        <v>232.02291680388336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projet'!$B$16,Paramètres!$A$1:$I$89,3,0)*0.475*44/12</f>
        <v>0</v>
      </c>
      <c r="FR137" s="23">
        <f>EXP(-LN(2)/25)*FR136+(1-EXP(-LN(2)/25))/(LN(2)/25)*Calculateur!FM137*Calculateur!FO137*VLOOKUP('Données projet'!$B$16,Paramètres!$A$1:$I$89,3,0)*0.475*44/12</f>
        <v>0</v>
      </c>
      <c r="FS137" s="23">
        <f>EXP(-LN(2)/2)*FS136+(1-EXP(-LN(2)/2))/(LN(2)/2)*FM137*FP137*VLOOKUP('Données projet'!$B$16,Paramètres!$A$1:$I$89,3,0)*0.475*44/12</f>
        <v>0</v>
      </c>
      <c r="FT137" s="24">
        <f t="shared" si="132"/>
        <v>0</v>
      </c>
      <c r="FU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67.129587160036266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5.1159076974727213E-13</v>
      </c>
      <c r="GA137" s="18">
        <f>FZ137*VLOOKUP('Données projet'!$B$17,Paramètres!$A$1:$I$89,3,0)*VLOOKUP('Données projet'!$B$17,Paramètres!$A$1:$I$89,5,0)</f>
        <v>3.0593128030886877E-13</v>
      </c>
      <c r="GB137" s="14">
        <f t="shared" si="157"/>
        <v>4.0350537939347394E-12</v>
      </c>
      <c r="GC137" s="22">
        <f t="shared" si="133"/>
        <v>7.5605490043076185E-12</v>
      </c>
      <c r="GD137" s="62">
        <f t="shared" si="134"/>
        <v>282.80848625347386</v>
      </c>
      <c r="GE137" s="62">
        <f ca="1">AVERAGE(OFFSET($GD$3,0,0,'Données projet'!$E$17+1,1))-AVERAGE(OFFSET($H$3,0,0,'Données projet'!$E$17+1,1))</f>
        <v>315.909549580511</v>
      </c>
      <c r="GF137" s="62">
        <f t="shared" si="158"/>
        <v>208.56856525402051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projet'!$B$17,Paramètres!$A$1:$I$89,3,0)*0.475*44/12</f>
        <v>0</v>
      </c>
      <c r="GM137" s="23">
        <f>EXP(-LN(2)/25)*GM136+(1-EXP(-LN(2)/25))/(LN(2)/25)*Calculateur!GH137*Calculateur!GJ137*VLOOKUP('Données projet'!$B$17,Paramètres!$A$1:$I$89,3,0)*0.475*44/12</f>
        <v>0</v>
      </c>
      <c r="GN137" s="23">
        <f>EXP(-LN(2)/2)*GN136+(1-EXP(-LN(2)/2))/(LN(2)/2)*GH137*GK137*VLOOKUP('Données projet'!$B$17,Paramètres!$A$1:$I$89,3,0)*0.475*44/12</f>
        <v>0</v>
      </c>
      <c r="GO137" s="23">
        <f t="shared" si="135"/>
        <v>0</v>
      </c>
      <c r="GP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67.129587160036266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1.1368683772161603E-13</v>
      </c>
      <c r="GV137" s="18">
        <f>GU137*VLOOKUP('Données projet'!$B$18,Paramètres!$A$1:$I$89,3,0)*VLOOKUP('Données projet'!$B$18,Paramètres!$A$1:$I$89,5,0)</f>
        <v>7.626113074366004E-14</v>
      </c>
      <c r="GW137" s="14">
        <f t="shared" si="159"/>
        <v>1.1823749172251317E-12</v>
      </c>
      <c r="GX137" s="22">
        <f t="shared" si="136"/>
        <v>2.1921244502123119E-12</v>
      </c>
      <c r="GY137" s="62">
        <f t="shared" si="137"/>
        <v>282.80848625346852</v>
      </c>
      <c r="GZ137" s="62">
        <f ca="1">AVERAGE(OFFSET($GY$3,0,0,'Données projet'!$E$18+1,1))-AVERAGE(OFFSET($H$3,0,0,'Données projet'!$E$18+1,1))</f>
        <v>254.35742752782755</v>
      </c>
      <c r="HA137" s="62">
        <f t="shared" si="160"/>
        <v>171.79611712137395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>
        <f>EXP(-LN(2)/35)*HG136+(1-EXP(-LN(2)/35))/(LN(2)/35)*HC137*HD137*VLOOKUP('Données projet'!$B$18,Paramètres!$A$1:$I$89,3,0)*0.475*44/12</f>
        <v>0</v>
      </c>
      <c r="HH137" s="23">
        <f>EXP(-LN(2)/25)*HH136+(1-EXP(-LN(2)/25))/(LN(2)/25)*Calculateur!HC137*Calculateur!HE137*VLOOKUP('Données projet'!$B$18,Paramètres!$A$1:$I$89,3,0)*0.475*44/12</f>
        <v>0</v>
      </c>
      <c r="HI137" s="23">
        <f>EXP(-LN(2)/2)*HI136+(1-EXP(-LN(2)/2))/(LN(2)/2)*HC137*HF137*VLOOKUP('Données projet'!$B$18,Paramètres!$A$1:$I$89,3,0)*0.475*44/12</f>
        <v>0</v>
      </c>
      <c r="HJ137" s="24">
        <f t="shared" si="138"/>
        <v>0</v>
      </c>
    </row>
    <row r="138" spans="1:218" s="5" customFormat="1" x14ac:dyDescent="0.3">
      <c r="A138" s="11">
        <f t="shared" si="139"/>
        <v>135</v>
      </c>
      <c r="B138" s="76">
        <f>'Scénario référence'!$B$16*5+'Scénario référence'!$B$17*0+'Scénario référence'!$B$18*5</f>
        <v>3.9405000000000001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14.448500000000001</v>
      </c>
      <c r="H138" s="69">
        <f t="shared" si="110"/>
        <v>161.30656666666667</v>
      </c>
      <c r="I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67.179382405527903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210.54472399593521</v>
      </c>
      <c r="T138" s="62">
        <f t="shared" si="142"/>
        <v>181.14158435194193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67.179382405527903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289.05608923588198</v>
      </c>
      <c r="AO138" s="62">
        <f t="shared" si="144"/>
        <v>220.06639020312738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67.179382405527903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1.1879166666666663</v>
      </c>
      <c r="BD138" s="13">
        <f>IF('Données projet'!$A$88&gt;35,BD137+BC138-BL137,IF(A138&lt;'Données projet'!$A$88,$BA$205^A138,IF(A138='Données projet'!$A$88,'Données projet'!$B$88,BD137+BC138-BL137)))</f>
        <v>121.47291666666665</v>
      </c>
      <c r="BE138" s="14">
        <f>BD138*VLOOKUP('Données projet'!$B$11,Paramètres!$A$1:$I$89,3,0)*VLOOKUP('Données projet'!$B$11,Paramètres!$A$1:$I$89,5,0)</f>
        <v>139.93679999999998</v>
      </c>
      <c r="BF138" s="14">
        <f t="shared" si="145"/>
        <v>36.282526882038972</v>
      </c>
      <c r="BG138" s="22">
        <f t="shared" si="115"/>
        <v>306.91532765288451</v>
      </c>
      <c r="BH138" s="62">
        <f t="shared" si="116"/>
        <v>589.90639647315356</v>
      </c>
      <c r="BI138" s="62">
        <f ca="1">AVERAGE(OFFSET($BH$3,0,0,'Données projet'!$E$11+1,1))-AVERAGE(OFFSET($H$3,0,0,'Données projet'!$E$11+1,1))</f>
        <v>299.54950406029354</v>
      </c>
      <c r="BJ138" s="62">
        <f t="shared" si="146"/>
        <v>208.26364698165739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67.179382405527903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>
        <f>BY138*VLOOKUP('Données projet'!$B$12,Paramètres!$A$1:$I$89,3,0)*VLOOKUP('Données projet'!$B$12,Paramètres!$A$1:$I$89,5,0)</f>
        <v>0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441.30518831297212</v>
      </c>
      <c r="CE138" s="62">
        <f t="shared" si="148"/>
        <v>270.42872405271851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67.179382405527903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-1.1368683772161603E-13</v>
      </c>
      <c r="CU138" s="18">
        <f>CT138*VLOOKUP('Données projet'!$B$13,Paramètres!$A$1:$I$89,3,0)*VLOOKUP('Données projet'!$B$13,Paramètres!$A$1:$I$89,5,0)</f>
        <v>-9.9316821433603781E-14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310.81258463659196</v>
      </c>
      <c r="CZ138" s="62">
        <f t="shared" si="150"/>
        <v>287.31099756692083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67.179382405527903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>
        <f>DO138*VLOOKUP('Données projet'!$B$14,Paramètres!$A$1:$I$89,3,0)*VLOOKUP('Données projet'!$B$14,Paramètres!$A$1:$I$89,5,0)</f>
        <v>0</v>
      </c>
      <c r="DQ138" s="14" t="e">
        <f t="shared" si="151"/>
        <v>#NUM!</v>
      </c>
      <c r="DR138" s="22" t="e">
        <f t="shared" si="124"/>
        <v>#NUM!</v>
      </c>
      <c r="DS138" s="62" t="e">
        <f t="shared" si="125"/>
        <v>#NUM!</v>
      </c>
      <c r="DT138" s="62">
        <f ca="1">AVERAGE(OFFSET($DS$3,0,0,'Données projet'!$E$14+1,1))-AVERAGE(OFFSET($H$3,0,0,'Données projet'!$E$14+1,1))</f>
        <v>431.19274104373625</v>
      </c>
      <c r="DU138" s="62">
        <f t="shared" si="152"/>
        <v>264.67919175178133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67.179382405527903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-6.2527760746888816E-13</v>
      </c>
      <c r="EK138" s="18">
        <f>EJ138*VLOOKUP('Données projet'!$B$15,Paramètres!$A$1:$I$89,3,0)*VLOOKUP('Données projet'!$B$15,Paramètres!$A$1:$I$89,5,0)</f>
        <v>-2.9262992029543964E-13</v>
      </c>
      <c r="EL138" s="14" t="e">
        <f t="shared" si="153"/>
        <v>#NUM!</v>
      </c>
      <c r="EM138" s="22" t="e">
        <f t="shared" si="127"/>
        <v>#NUM!</v>
      </c>
      <c r="EN138" s="62" t="e">
        <f t="shared" si="128"/>
        <v>#NUM!</v>
      </c>
      <c r="EO138" s="62">
        <f ca="1">AVERAGE(OFFSET($EN$3,0,0,'Données projet'!$E$15+1,1))-AVERAGE(OFFSET($H$3,0,0,'Données projet'!$E$15+1,1))</f>
        <v>291.68530745507815</v>
      </c>
      <c r="EP138" s="62">
        <f t="shared" si="154"/>
        <v>175.95121106728979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0</v>
      </c>
      <c r="EZ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67.179382405527903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-1.1368683772161603E-13</v>
      </c>
      <c r="FF138" s="18">
        <f>FE138*VLOOKUP('Données projet'!$B$16,Paramètres!$A$1:$I$89,3,0)*VLOOKUP('Données projet'!$B$16,Paramètres!$A$1:$I$89,5,0)</f>
        <v>-7.4487616075202823E-14</v>
      </c>
      <c r="FG138" s="14" t="e">
        <f t="shared" si="155"/>
        <v>#NUM!</v>
      </c>
      <c r="FH138" s="22" t="e">
        <f t="shared" si="130"/>
        <v>#NUM!</v>
      </c>
      <c r="FI138" s="62" t="e">
        <f t="shared" si="131"/>
        <v>#NUM!</v>
      </c>
      <c r="FJ138" s="62">
        <f ca="1">AVERAGE(OFFSET($FI$3,0,0,'Données projet'!$E$16+1,1))-AVERAGE(OFFSET($H$3,0,0,'Données projet'!$E$16+1,1))</f>
        <v>248.75689726928428</v>
      </c>
      <c r="FK138" s="62">
        <f t="shared" si="156"/>
        <v>232.02291680388336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projet'!$B$16,Paramètres!$A$1:$I$89,3,0)*0.475*44/12</f>
        <v>0</v>
      </c>
      <c r="FR138" s="23">
        <f>EXP(-LN(2)/25)*FR137+(1-EXP(-LN(2)/25))/(LN(2)/25)*Calculateur!FM138*Calculateur!FO138*VLOOKUP('Données projet'!$B$16,Paramètres!$A$1:$I$89,3,0)*0.475*44/12</f>
        <v>0</v>
      </c>
      <c r="FS138" s="23">
        <f>EXP(-LN(2)/2)*FS137+(1-EXP(-LN(2)/2))/(LN(2)/2)*FM138*FP138*VLOOKUP('Données projet'!$B$16,Paramètres!$A$1:$I$89,3,0)*0.475*44/12</f>
        <v>0</v>
      </c>
      <c r="FT138" s="24">
        <f t="shared" si="132"/>
        <v>0</v>
      </c>
      <c r="FU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67.179382405527903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5.1159076974727213E-13</v>
      </c>
      <c r="GA138" s="18">
        <f>FZ138*VLOOKUP('Données projet'!$B$17,Paramètres!$A$1:$I$89,3,0)*VLOOKUP('Données projet'!$B$17,Paramètres!$A$1:$I$89,5,0)</f>
        <v>3.0593128030886877E-13</v>
      </c>
      <c r="GB138" s="14">
        <f t="shared" si="157"/>
        <v>4.0350537939347394E-12</v>
      </c>
      <c r="GC138" s="22">
        <f t="shared" si="133"/>
        <v>7.5605490043076185E-12</v>
      </c>
      <c r="GD138" s="62">
        <f t="shared" si="134"/>
        <v>282.99106882027655</v>
      </c>
      <c r="GE138" s="62">
        <f ca="1">AVERAGE(OFFSET($GD$3,0,0,'Données projet'!$E$17+1,1))-AVERAGE(OFFSET($H$3,0,0,'Données projet'!$E$17+1,1))</f>
        <v>315.909549580511</v>
      </c>
      <c r="GF138" s="62">
        <f t="shared" si="158"/>
        <v>208.56856525402051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projet'!$B$17,Paramètres!$A$1:$I$89,3,0)*0.475*44/12</f>
        <v>0</v>
      </c>
      <c r="GM138" s="23">
        <f>EXP(-LN(2)/25)*GM137+(1-EXP(-LN(2)/25))/(LN(2)/25)*Calculateur!GH138*Calculateur!GJ138*VLOOKUP('Données projet'!$B$17,Paramètres!$A$1:$I$89,3,0)*0.475*44/12</f>
        <v>0</v>
      </c>
      <c r="GN138" s="23">
        <f>EXP(-LN(2)/2)*GN137+(1-EXP(-LN(2)/2))/(LN(2)/2)*GH138*GK138*VLOOKUP('Données projet'!$B$17,Paramètres!$A$1:$I$89,3,0)*0.475*44/12</f>
        <v>0</v>
      </c>
      <c r="GO138" s="23">
        <f t="shared" si="135"/>
        <v>0</v>
      </c>
      <c r="GP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67.179382405527903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1.1368683772161603E-13</v>
      </c>
      <c r="GV138" s="18">
        <f>GU138*VLOOKUP('Données projet'!$B$18,Paramètres!$A$1:$I$89,3,0)*VLOOKUP('Données projet'!$B$18,Paramètres!$A$1:$I$89,5,0)</f>
        <v>7.626113074366004E-14</v>
      </c>
      <c r="GW138" s="14">
        <f t="shared" si="159"/>
        <v>1.1823749172251317E-12</v>
      </c>
      <c r="GX138" s="22">
        <f t="shared" si="136"/>
        <v>2.1921244502123119E-12</v>
      </c>
      <c r="GY138" s="62">
        <f t="shared" si="137"/>
        <v>282.99106882027121</v>
      </c>
      <c r="GZ138" s="62">
        <f ca="1">AVERAGE(OFFSET($GY$3,0,0,'Données projet'!$E$18+1,1))-AVERAGE(OFFSET($H$3,0,0,'Données projet'!$E$18+1,1))</f>
        <v>254.35742752782755</v>
      </c>
      <c r="HA138" s="62">
        <f t="shared" si="160"/>
        <v>171.79611712137395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>
        <f>EXP(-LN(2)/35)*HG137+(1-EXP(-LN(2)/35))/(LN(2)/35)*HC138*HD138*VLOOKUP('Données projet'!$B$18,Paramètres!$A$1:$I$89,3,0)*0.475*44/12</f>
        <v>0</v>
      </c>
      <c r="HH138" s="23">
        <f>EXP(-LN(2)/25)*HH137+(1-EXP(-LN(2)/25))/(LN(2)/25)*Calculateur!HC138*Calculateur!HE138*VLOOKUP('Données projet'!$B$18,Paramètres!$A$1:$I$89,3,0)*0.475*44/12</f>
        <v>0</v>
      </c>
      <c r="HI138" s="23">
        <f>EXP(-LN(2)/2)*HI137+(1-EXP(-LN(2)/2))/(LN(2)/2)*HC138*HF138*VLOOKUP('Données projet'!$B$18,Paramètres!$A$1:$I$89,3,0)*0.475*44/12</f>
        <v>0</v>
      </c>
      <c r="HJ138" s="24">
        <f t="shared" si="138"/>
        <v>0</v>
      </c>
    </row>
    <row r="139" spans="1:218" s="5" customFormat="1" x14ac:dyDescent="0.3">
      <c r="A139" s="11">
        <f t="shared" si="139"/>
        <v>136</v>
      </c>
      <c r="B139" s="76">
        <f>'Scénario référence'!$B$16*5+'Scénario référence'!$B$17*0+'Scénario référence'!$B$18*5</f>
        <v>3.9405000000000001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14.448500000000001</v>
      </c>
      <c r="H139" s="69">
        <f t="shared" si="110"/>
        <v>161.30656666666667</v>
      </c>
      <c r="I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67.228313814835744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210.54472399593521</v>
      </c>
      <c r="T139" s="62">
        <f t="shared" si="142"/>
        <v>181.14158435194193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67.228313814835744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289.05608923588198</v>
      </c>
      <c r="AO139" s="62">
        <f t="shared" si="144"/>
        <v>220.06639020312738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67.228313814835744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1.1879166666666663</v>
      </c>
      <c r="BD139" s="13">
        <f>IF('Données projet'!$A$88&gt;35,BD138+BC139-BL138,IF(A139&lt;'Données projet'!$A$88,$BA$205^A139,IF(A139='Données projet'!$A$88,'Données projet'!$B$88,BD138+BC139-BL138)))</f>
        <v>122.66083333333331</v>
      </c>
      <c r="BE139" s="14">
        <f>BD139*VLOOKUP('Données projet'!$B$11,Paramètres!$A$1:$I$89,3,0)*VLOOKUP('Données projet'!$B$11,Paramètres!$A$1:$I$89,5,0)</f>
        <v>141.30527999999995</v>
      </c>
      <c r="BF139" s="14">
        <f t="shared" si="145"/>
        <v>36.595865117852185</v>
      </c>
      <c r="BG139" s="22">
        <f t="shared" si="115"/>
        <v>309.84449441359243</v>
      </c>
      <c r="BH139" s="62">
        <f t="shared" si="116"/>
        <v>593.01497840132356</v>
      </c>
      <c r="BI139" s="62">
        <f ca="1">AVERAGE(OFFSET($BH$3,0,0,'Données projet'!$E$11+1,1))-AVERAGE(OFFSET($H$3,0,0,'Données projet'!$E$11+1,1))</f>
        <v>299.54950406029354</v>
      </c>
      <c r="BJ139" s="62">
        <f t="shared" si="146"/>
        <v>208.26364698165739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67.228313814835744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>
        <f>BY139*VLOOKUP('Données projet'!$B$12,Paramètres!$A$1:$I$89,3,0)*VLOOKUP('Données projet'!$B$12,Paramètres!$A$1:$I$89,5,0)</f>
        <v>0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441.30518831297212</v>
      </c>
      <c r="CE139" s="62">
        <f t="shared" si="148"/>
        <v>270.42872405271851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67.228313814835744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-1.1368683772161603E-13</v>
      </c>
      <c r="CU139" s="18">
        <f>CT139*VLOOKUP('Données projet'!$B$13,Paramètres!$A$1:$I$89,3,0)*VLOOKUP('Données projet'!$B$13,Paramètres!$A$1:$I$89,5,0)</f>
        <v>-9.9316821433603781E-14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310.81258463659196</v>
      </c>
      <c r="CZ139" s="62">
        <f t="shared" si="150"/>
        <v>287.31099756692083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67.228313814835744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>
        <f>DO139*VLOOKUP('Données projet'!$B$14,Paramètres!$A$1:$I$89,3,0)*VLOOKUP('Données projet'!$B$14,Paramètres!$A$1:$I$89,5,0)</f>
        <v>0</v>
      </c>
      <c r="DQ139" s="14" t="e">
        <f t="shared" si="151"/>
        <v>#NUM!</v>
      </c>
      <c r="DR139" s="22" t="e">
        <f t="shared" si="124"/>
        <v>#NUM!</v>
      </c>
      <c r="DS139" s="62" t="e">
        <f t="shared" si="125"/>
        <v>#NUM!</v>
      </c>
      <c r="DT139" s="62">
        <f ca="1">AVERAGE(OFFSET($DS$3,0,0,'Données projet'!$E$14+1,1))-AVERAGE(OFFSET($H$3,0,0,'Données projet'!$E$14+1,1))</f>
        <v>431.19274104373625</v>
      </c>
      <c r="DU139" s="62">
        <f t="shared" si="152"/>
        <v>264.67919175178133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67.228313814835744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-6.2527760746888816E-13</v>
      </c>
      <c r="EK139" s="18">
        <f>EJ139*VLOOKUP('Données projet'!$B$15,Paramètres!$A$1:$I$89,3,0)*VLOOKUP('Données projet'!$B$15,Paramètres!$A$1:$I$89,5,0)</f>
        <v>-2.9262992029543964E-13</v>
      </c>
      <c r="EL139" s="14" t="e">
        <f t="shared" si="153"/>
        <v>#NUM!</v>
      </c>
      <c r="EM139" s="22" t="e">
        <f t="shared" si="127"/>
        <v>#NUM!</v>
      </c>
      <c r="EN139" s="62" t="e">
        <f t="shared" si="128"/>
        <v>#NUM!</v>
      </c>
      <c r="EO139" s="62">
        <f ca="1">AVERAGE(OFFSET($EN$3,0,0,'Données projet'!$E$15+1,1))-AVERAGE(OFFSET($H$3,0,0,'Données projet'!$E$15+1,1))</f>
        <v>291.68530745507815</v>
      </c>
      <c r="EP139" s="62">
        <f t="shared" si="154"/>
        <v>175.95121106728979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0</v>
      </c>
      <c r="EZ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67.228313814835744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-1.1368683772161603E-13</v>
      </c>
      <c r="FF139" s="18">
        <f>FE139*VLOOKUP('Données projet'!$B$16,Paramètres!$A$1:$I$89,3,0)*VLOOKUP('Données projet'!$B$16,Paramètres!$A$1:$I$89,5,0)</f>
        <v>-7.4487616075202823E-14</v>
      </c>
      <c r="FG139" s="14" t="e">
        <f t="shared" si="155"/>
        <v>#NUM!</v>
      </c>
      <c r="FH139" s="22" t="e">
        <f t="shared" si="130"/>
        <v>#NUM!</v>
      </c>
      <c r="FI139" s="62" t="e">
        <f t="shared" si="131"/>
        <v>#NUM!</v>
      </c>
      <c r="FJ139" s="62">
        <f ca="1">AVERAGE(OFFSET($FI$3,0,0,'Données projet'!$E$16+1,1))-AVERAGE(OFFSET($H$3,0,0,'Données projet'!$E$16+1,1))</f>
        <v>248.75689726928428</v>
      </c>
      <c r="FK139" s="62">
        <f t="shared" si="156"/>
        <v>232.02291680388336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projet'!$B$16,Paramètres!$A$1:$I$89,3,0)*0.475*44/12</f>
        <v>0</v>
      </c>
      <c r="FR139" s="23">
        <f>EXP(-LN(2)/25)*FR138+(1-EXP(-LN(2)/25))/(LN(2)/25)*Calculateur!FM139*Calculateur!FO139*VLOOKUP('Données projet'!$B$16,Paramètres!$A$1:$I$89,3,0)*0.475*44/12</f>
        <v>0</v>
      </c>
      <c r="FS139" s="23">
        <f>EXP(-LN(2)/2)*FS138+(1-EXP(-LN(2)/2))/(LN(2)/2)*FM139*FP139*VLOOKUP('Données projet'!$B$16,Paramètres!$A$1:$I$89,3,0)*0.475*44/12</f>
        <v>0</v>
      </c>
      <c r="FT139" s="24">
        <f t="shared" si="132"/>
        <v>0</v>
      </c>
      <c r="FU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67.228313814835744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5.1159076974727213E-13</v>
      </c>
      <c r="GA139" s="18">
        <f>FZ139*VLOOKUP('Données projet'!$B$17,Paramètres!$A$1:$I$89,3,0)*VLOOKUP('Données projet'!$B$17,Paramètres!$A$1:$I$89,5,0)</f>
        <v>3.0593128030886877E-13</v>
      </c>
      <c r="GB139" s="14">
        <f t="shared" si="157"/>
        <v>4.0350537939347394E-12</v>
      </c>
      <c r="GC139" s="22">
        <f t="shared" si="133"/>
        <v>7.5605490043076185E-12</v>
      </c>
      <c r="GD139" s="62">
        <f t="shared" si="134"/>
        <v>283.17048398773863</v>
      </c>
      <c r="GE139" s="62">
        <f ca="1">AVERAGE(OFFSET($GD$3,0,0,'Données projet'!$E$17+1,1))-AVERAGE(OFFSET($H$3,0,0,'Données projet'!$E$17+1,1))</f>
        <v>315.909549580511</v>
      </c>
      <c r="GF139" s="62">
        <f t="shared" si="158"/>
        <v>208.56856525402051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projet'!$B$17,Paramètres!$A$1:$I$89,3,0)*0.475*44/12</f>
        <v>0</v>
      </c>
      <c r="GM139" s="23">
        <f>EXP(-LN(2)/25)*GM138+(1-EXP(-LN(2)/25))/(LN(2)/25)*Calculateur!GH139*Calculateur!GJ139*VLOOKUP('Données projet'!$B$17,Paramètres!$A$1:$I$89,3,0)*0.475*44/12</f>
        <v>0</v>
      </c>
      <c r="GN139" s="23">
        <f>EXP(-LN(2)/2)*GN138+(1-EXP(-LN(2)/2))/(LN(2)/2)*GH139*GK139*VLOOKUP('Données projet'!$B$17,Paramètres!$A$1:$I$89,3,0)*0.475*44/12</f>
        <v>0</v>
      </c>
      <c r="GO139" s="23">
        <f t="shared" si="135"/>
        <v>0</v>
      </c>
      <c r="GP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67.228313814835744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1.1368683772161603E-13</v>
      </c>
      <c r="GV139" s="18">
        <f>GU139*VLOOKUP('Données projet'!$B$18,Paramètres!$A$1:$I$89,3,0)*VLOOKUP('Données projet'!$B$18,Paramètres!$A$1:$I$89,5,0)</f>
        <v>7.626113074366004E-14</v>
      </c>
      <c r="GW139" s="14">
        <f t="shared" si="159"/>
        <v>1.1823749172251317E-12</v>
      </c>
      <c r="GX139" s="22">
        <f t="shared" si="136"/>
        <v>2.1921244502123119E-12</v>
      </c>
      <c r="GY139" s="62">
        <f t="shared" si="137"/>
        <v>283.17048398773329</v>
      </c>
      <c r="GZ139" s="62">
        <f ca="1">AVERAGE(OFFSET($GY$3,0,0,'Données projet'!$E$18+1,1))-AVERAGE(OFFSET($H$3,0,0,'Données projet'!$E$18+1,1))</f>
        <v>254.35742752782755</v>
      </c>
      <c r="HA139" s="62">
        <f t="shared" si="160"/>
        <v>171.79611712137395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>
        <f>EXP(-LN(2)/35)*HG138+(1-EXP(-LN(2)/35))/(LN(2)/35)*HC139*HD139*VLOOKUP('Données projet'!$B$18,Paramètres!$A$1:$I$89,3,0)*0.475*44/12</f>
        <v>0</v>
      </c>
      <c r="HH139" s="23">
        <f>EXP(-LN(2)/25)*HH138+(1-EXP(-LN(2)/25))/(LN(2)/25)*Calculateur!HC139*Calculateur!HE139*VLOOKUP('Données projet'!$B$18,Paramètres!$A$1:$I$89,3,0)*0.475*44/12</f>
        <v>0</v>
      </c>
      <c r="HI139" s="23">
        <f>EXP(-LN(2)/2)*HI138+(1-EXP(-LN(2)/2))/(LN(2)/2)*HC139*HF139*VLOOKUP('Données projet'!$B$18,Paramètres!$A$1:$I$89,3,0)*0.475*44/12</f>
        <v>0</v>
      </c>
      <c r="HJ139" s="24">
        <f t="shared" si="138"/>
        <v>0</v>
      </c>
    </row>
    <row r="140" spans="1:218" s="5" customFormat="1" x14ac:dyDescent="0.3">
      <c r="A140" s="11">
        <f t="shared" si="139"/>
        <v>137</v>
      </c>
      <c r="B140" s="76">
        <f>'Scénario référence'!$B$16*5+'Scénario référence'!$B$17*0+'Scénario référence'!$B$18*5</f>
        <v>3.9405000000000001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14.448500000000001</v>
      </c>
      <c r="H140" s="69">
        <f t="shared" si="110"/>
        <v>161.30656666666667</v>
      </c>
      <c r="I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67.276396373586337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210.54472399593521</v>
      </c>
      <c r="T140" s="62">
        <f t="shared" si="142"/>
        <v>181.14158435194193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67.276396373586337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289.05608923588198</v>
      </c>
      <c r="AO140" s="62">
        <f t="shared" si="144"/>
        <v>220.06639020312738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67.276396373586337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1.1879166666666663</v>
      </c>
      <c r="BD140" s="13">
        <f>IF('Données projet'!$A$88&gt;35,BD139+BC140-BL139,IF(A140&lt;'Données projet'!$A$88,$BA$205^A140,IF(A140='Données projet'!$A$88,'Données projet'!$B$88,BD139+BC140-BL139)))</f>
        <v>123.84874999999998</v>
      </c>
      <c r="BE140" s="14">
        <f>BD140*VLOOKUP('Données projet'!$B$11,Paramètres!$A$1:$I$89,3,0)*VLOOKUP('Données projet'!$B$11,Paramètres!$A$1:$I$89,5,0)</f>
        <v>142.67375999999996</v>
      </c>
      <c r="BF140" s="14">
        <f t="shared" si="145"/>
        <v>36.908850325906613</v>
      </c>
      <c r="BG140" s="22">
        <f t="shared" si="115"/>
        <v>312.77304631762058</v>
      </c>
      <c r="BH140" s="62">
        <f t="shared" si="116"/>
        <v>596.11983302077056</v>
      </c>
      <c r="BI140" s="62">
        <f ca="1">AVERAGE(OFFSET($BH$3,0,0,'Données projet'!$E$11+1,1))-AVERAGE(OFFSET($H$3,0,0,'Données projet'!$E$11+1,1))</f>
        <v>299.54950406029354</v>
      </c>
      <c r="BJ140" s="62">
        <f t="shared" si="146"/>
        <v>208.26364698165739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67.276396373586337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>
        <f>BY140*VLOOKUP('Données projet'!$B$12,Paramètres!$A$1:$I$89,3,0)*VLOOKUP('Données projet'!$B$12,Paramètres!$A$1:$I$89,5,0)</f>
        <v>0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441.30518831297212</v>
      </c>
      <c r="CE140" s="62">
        <f t="shared" si="148"/>
        <v>270.42872405271851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67.276396373586337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-1.1368683772161603E-13</v>
      </c>
      <c r="CU140" s="18">
        <f>CT140*VLOOKUP('Données projet'!$B$13,Paramètres!$A$1:$I$89,3,0)*VLOOKUP('Données projet'!$B$13,Paramètres!$A$1:$I$89,5,0)</f>
        <v>-9.9316821433603781E-14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310.81258463659196</v>
      </c>
      <c r="CZ140" s="62">
        <f t="shared" si="150"/>
        <v>287.31099756692083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67.276396373586337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>
        <f>DO140*VLOOKUP('Données projet'!$B$14,Paramètres!$A$1:$I$89,3,0)*VLOOKUP('Données projet'!$B$14,Paramètres!$A$1:$I$89,5,0)</f>
        <v>0</v>
      </c>
      <c r="DQ140" s="14" t="e">
        <f t="shared" si="151"/>
        <v>#NUM!</v>
      </c>
      <c r="DR140" s="22" t="e">
        <f t="shared" si="124"/>
        <v>#NUM!</v>
      </c>
      <c r="DS140" s="62" t="e">
        <f t="shared" si="125"/>
        <v>#NUM!</v>
      </c>
      <c r="DT140" s="62">
        <f ca="1">AVERAGE(OFFSET($DS$3,0,0,'Données projet'!$E$14+1,1))-AVERAGE(OFFSET($H$3,0,0,'Données projet'!$E$14+1,1))</f>
        <v>431.19274104373625</v>
      </c>
      <c r="DU140" s="62">
        <f t="shared" si="152"/>
        <v>264.67919175178133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67.276396373586337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-6.2527760746888816E-13</v>
      </c>
      <c r="EK140" s="18">
        <f>EJ140*VLOOKUP('Données projet'!$B$15,Paramètres!$A$1:$I$89,3,0)*VLOOKUP('Données projet'!$B$15,Paramètres!$A$1:$I$89,5,0)</f>
        <v>-2.9262992029543964E-13</v>
      </c>
      <c r="EL140" s="14" t="e">
        <f t="shared" si="153"/>
        <v>#NUM!</v>
      </c>
      <c r="EM140" s="22" t="e">
        <f t="shared" si="127"/>
        <v>#NUM!</v>
      </c>
      <c r="EN140" s="62" t="e">
        <f t="shared" si="128"/>
        <v>#NUM!</v>
      </c>
      <c r="EO140" s="62">
        <f ca="1">AVERAGE(OFFSET($EN$3,0,0,'Données projet'!$E$15+1,1))-AVERAGE(OFFSET($H$3,0,0,'Données projet'!$E$15+1,1))</f>
        <v>291.68530745507815</v>
      </c>
      <c r="EP140" s="62">
        <f t="shared" si="154"/>
        <v>175.95121106728979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0</v>
      </c>
      <c r="EZ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67.276396373586337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-1.1368683772161603E-13</v>
      </c>
      <c r="FF140" s="18">
        <f>FE140*VLOOKUP('Données projet'!$B$16,Paramètres!$A$1:$I$89,3,0)*VLOOKUP('Données projet'!$B$16,Paramètres!$A$1:$I$89,5,0)</f>
        <v>-7.4487616075202823E-14</v>
      </c>
      <c r="FG140" s="14" t="e">
        <f t="shared" si="155"/>
        <v>#NUM!</v>
      </c>
      <c r="FH140" s="22" t="e">
        <f t="shared" si="130"/>
        <v>#NUM!</v>
      </c>
      <c r="FI140" s="62" t="e">
        <f t="shared" si="131"/>
        <v>#NUM!</v>
      </c>
      <c r="FJ140" s="62">
        <f ca="1">AVERAGE(OFFSET($FI$3,0,0,'Données projet'!$E$16+1,1))-AVERAGE(OFFSET($H$3,0,0,'Données projet'!$E$16+1,1))</f>
        <v>248.75689726928428</v>
      </c>
      <c r="FK140" s="62">
        <f t="shared" si="156"/>
        <v>232.02291680388336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projet'!$B$16,Paramètres!$A$1:$I$89,3,0)*0.475*44/12</f>
        <v>0</v>
      </c>
      <c r="FR140" s="23">
        <f>EXP(-LN(2)/25)*FR139+(1-EXP(-LN(2)/25))/(LN(2)/25)*Calculateur!FM140*Calculateur!FO140*VLOOKUP('Données projet'!$B$16,Paramètres!$A$1:$I$89,3,0)*0.475*44/12</f>
        <v>0</v>
      </c>
      <c r="FS140" s="23">
        <f>EXP(-LN(2)/2)*FS139+(1-EXP(-LN(2)/2))/(LN(2)/2)*FM140*FP140*VLOOKUP('Données projet'!$B$16,Paramètres!$A$1:$I$89,3,0)*0.475*44/12</f>
        <v>0</v>
      </c>
      <c r="FT140" s="24">
        <f t="shared" si="132"/>
        <v>0</v>
      </c>
      <c r="FU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67.276396373586337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5.1159076974727213E-13</v>
      </c>
      <c r="GA140" s="18">
        <f>FZ140*VLOOKUP('Données projet'!$B$17,Paramètres!$A$1:$I$89,3,0)*VLOOKUP('Données projet'!$B$17,Paramètres!$A$1:$I$89,5,0)</f>
        <v>3.0593128030886877E-13</v>
      </c>
      <c r="GB140" s="14">
        <f t="shared" si="157"/>
        <v>4.0350537939347394E-12</v>
      </c>
      <c r="GC140" s="22">
        <f t="shared" si="133"/>
        <v>7.5605490043076185E-12</v>
      </c>
      <c r="GD140" s="62">
        <f t="shared" si="134"/>
        <v>283.34678670315748</v>
      </c>
      <c r="GE140" s="62">
        <f ca="1">AVERAGE(OFFSET($GD$3,0,0,'Données projet'!$E$17+1,1))-AVERAGE(OFFSET($H$3,0,0,'Données projet'!$E$17+1,1))</f>
        <v>315.909549580511</v>
      </c>
      <c r="GF140" s="62">
        <f t="shared" si="158"/>
        <v>208.56856525402051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projet'!$B$17,Paramètres!$A$1:$I$89,3,0)*0.475*44/12</f>
        <v>0</v>
      </c>
      <c r="GM140" s="23">
        <f>EXP(-LN(2)/25)*GM139+(1-EXP(-LN(2)/25))/(LN(2)/25)*Calculateur!GH140*Calculateur!GJ140*VLOOKUP('Données projet'!$B$17,Paramètres!$A$1:$I$89,3,0)*0.475*44/12</f>
        <v>0</v>
      </c>
      <c r="GN140" s="23">
        <f>EXP(-LN(2)/2)*GN139+(1-EXP(-LN(2)/2))/(LN(2)/2)*GH140*GK140*VLOOKUP('Données projet'!$B$17,Paramètres!$A$1:$I$89,3,0)*0.475*44/12</f>
        <v>0</v>
      </c>
      <c r="GO140" s="23">
        <f t="shared" si="135"/>
        <v>0</v>
      </c>
      <c r="GP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67.276396373586337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1.1368683772161603E-13</v>
      </c>
      <c r="GV140" s="18">
        <f>GU140*VLOOKUP('Données projet'!$B$18,Paramètres!$A$1:$I$89,3,0)*VLOOKUP('Données projet'!$B$18,Paramètres!$A$1:$I$89,5,0)</f>
        <v>7.626113074366004E-14</v>
      </c>
      <c r="GW140" s="14">
        <f t="shared" si="159"/>
        <v>1.1823749172251317E-12</v>
      </c>
      <c r="GX140" s="22">
        <f t="shared" si="136"/>
        <v>2.1921244502123119E-12</v>
      </c>
      <c r="GY140" s="62">
        <f t="shared" si="137"/>
        <v>283.34678670315213</v>
      </c>
      <c r="GZ140" s="62">
        <f ca="1">AVERAGE(OFFSET($GY$3,0,0,'Données projet'!$E$18+1,1))-AVERAGE(OFFSET($H$3,0,0,'Données projet'!$E$18+1,1))</f>
        <v>254.35742752782755</v>
      </c>
      <c r="HA140" s="62">
        <f t="shared" si="160"/>
        <v>171.79611712137395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>
        <f>EXP(-LN(2)/35)*HG139+(1-EXP(-LN(2)/35))/(LN(2)/35)*HC140*HD140*VLOOKUP('Données projet'!$B$18,Paramètres!$A$1:$I$89,3,0)*0.475*44/12</f>
        <v>0</v>
      </c>
      <c r="HH140" s="23">
        <f>EXP(-LN(2)/25)*HH139+(1-EXP(-LN(2)/25))/(LN(2)/25)*Calculateur!HC140*Calculateur!HE140*VLOOKUP('Données projet'!$B$18,Paramètres!$A$1:$I$89,3,0)*0.475*44/12</f>
        <v>0</v>
      </c>
      <c r="HI140" s="23">
        <f>EXP(-LN(2)/2)*HI139+(1-EXP(-LN(2)/2))/(LN(2)/2)*HC140*HF140*VLOOKUP('Données projet'!$B$18,Paramètres!$A$1:$I$89,3,0)*0.475*44/12</f>
        <v>0</v>
      </c>
      <c r="HJ140" s="24">
        <f t="shared" si="138"/>
        <v>0</v>
      </c>
    </row>
    <row r="141" spans="1:218" s="5" customFormat="1" x14ac:dyDescent="0.3">
      <c r="A141" s="11">
        <f t="shared" si="139"/>
        <v>138</v>
      </c>
      <c r="B141" s="76">
        <f>'Scénario référence'!$B$16*5+'Scénario référence'!$B$17*0+'Scénario référence'!$B$18*5</f>
        <v>3.9405000000000001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14.448500000000001</v>
      </c>
      <c r="H141" s="69">
        <f t="shared" si="110"/>
        <v>161.30656666666667</v>
      </c>
      <c r="I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67.323644807439123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210.54472399593521</v>
      </c>
      <c r="T141" s="62">
        <f t="shared" si="142"/>
        <v>181.14158435194193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67.323644807439123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289.05608923588198</v>
      </c>
      <c r="AO141" s="62">
        <f t="shared" si="144"/>
        <v>220.06639020312738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67.323644807439123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1.1879166666666663</v>
      </c>
      <c r="BD141" s="13">
        <f>IF('Données projet'!$A$88&gt;35,BD140+BC141-BL140,IF(A141&lt;'Données projet'!$A$88,$BA$205^A141,IF(A141='Données projet'!$A$88,'Données projet'!$B$88,BD140+BC141-BL140)))</f>
        <v>125.03666666666665</v>
      </c>
      <c r="BE141" s="14">
        <f>BD141*VLOOKUP('Données projet'!$B$11,Paramètres!$A$1:$I$89,3,0)*VLOOKUP('Données projet'!$B$11,Paramètres!$A$1:$I$89,5,0)</f>
        <v>144.04223999999996</v>
      </c>
      <c r="BF141" s="14">
        <f t="shared" si="145"/>
        <v>37.221486284480982</v>
      </c>
      <c r="BG141" s="22">
        <f t="shared" si="115"/>
        <v>315.70098994547101</v>
      </c>
      <c r="BH141" s="62">
        <f t="shared" si="116"/>
        <v>599.22102090608109</v>
      </c>
      <c r="BI141" s="62">
        <f ca="1">AVERAGE(OFFSET($BH$3,0,0,'Données projet'!$E$11+1,1))-AVERAGE(OFFSET($H$3,0,0,'Données projet'!$E$11+1,1))</f>
        <v>299.54950406029354</v>
      </c>
      <c r="BJ141" s="62">
        <f t="shared" si="146"/>
        <v>208.26364698165739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67.323644807439123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>
        <f>BY141*VLOOKUP('Données projet'!$B$12,Paramètres!$A$1:$I$89,3,0)*VLOOKUP('Données projet'!$B$12,Paramètres!$A$1:$I$89,5,0)</f>
        <v>0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441.30518831297212</v>
      </c>
      <c r="CE141" s="62">
        <f t="shared" si="148"/>
        <v>270.42872405271851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67.323644807439123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-1.1368683772161603E-13</v>
      </c>
      <c r="CU141" s="18">
        <f>CT141*VLOOKUP('Données projet'!$B$13,Paramètres!$A$1:$I$89,3,0)*VLOOKUP('Données projet'!$B$13,Paramètres!$A$1:$I$89,5,0)</f>
        <v>-9.9316821433603781E-14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310.81258463659196</v>
      </c>
      <c r="CZ141" s="62">
        <f t="shared" si="150"/>
        <v>287.31099756692083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67.323644807439123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>
        <f>DO141*VLOOKUP('Données projet'!$B$14,Paramètres!$A$1:$I$89,3,0)*VLOOKUP('Données projet'!$B$14,Paramètres!$A$1:$I$89,5,0)</f>
        <v>0</v>
      </c>
      <c r="DQ141" s="14" t="e">
        <f t="shared" si="151"/>
        <v>#NUM!</v>
      </c>
      <c r="DR141" s="22" t="e">
        <f t="shared" si="124"/>
        <v>#NUM!</v>
      </c>
      <c r="DS141" s="62" t="e">
        <f t="shared" si="125"/>
        <v>#NUM!</v>
      </c>
      <c r="DT141" s="62">
        <f ca="1">AVERAGE(OFFSET($DS$3,0,0,'Données projet'!$E$14+1,1))-AVERAGE(OFFSET($H$3,0,0,'Données projet'!$E$14+1,1))</f>
        <v>431.19274104373625</v>
      </c>
      <c r="DU141" s="62">
        <f t="shared" si="152"/>
        <v>264.67919175178133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67.323644807439123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-6.2527760746888816E-13</v>
      </c>
      <c r="EK141" s="18">
        <f>EJ141*VLOOKUP('Données projet'!$B$15,Paramètres!$A$1:$I$89,3,0)*VLOOKUP('Données projet'!$B$15,Paramètres!$A$1:$I$89,5,0)</f>
        <v>-2.9262992029543964E-13</v>
      </c>
      <c r="EL141" s="14" t="e">
        <f t="shared" si="153"/>
        <v>#NUM!</v>
      </c>
      <c r="EM141" s="22" t="e">
        <f t="shared" si="127"/>
        <v>#NUM!</v>
      </c>
      <c r="EN141" s="62" t="e">
        <f t="shared" si="128"/>
        <v>#NUM!</v>
      </c>
      <c r="EO141" s="62">
        <f ca="1">AVERAGE(OFFSET($EN$3,0,0,'Données projet'!$E$15+1,1))-AVERAGE(OFFSET($H$3,0,0,'Données projet'!$E$15+1,1))</f>
        <v>291.68530745507815</v>
      </c>
      <c r="EP141" s="62">
        <f t="shared" si="154"/>
        <v>175.95121106728979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0</v>
      </c>
      <c r="EZ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67.323644807439123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-1.1368683772161603E-13</v>
      </c>
      <c r="FF141" s="18">
        <f>FE141*VLOOKUP('Données projet'!$B$16,Paramètres!$A$1:$I$89,3,0)*VLOOKUP('Données projet'!$B$16,Paramètres!$A$1:$I$89,5,0)</f>
        <v>-7.4487616075202823E-14</v>
      </c>
      <c r="FG141" s="14" t="e">
        <f t="shared" si="155"/>
        <v>#NUM!</v>
      </c>
      <c r="FH141" s="22" t="e">
        <f t="shared" si="130"/>
        <v>#NUM!</v>
      </c>
      <c r="FI141" s="62" t="e">
        <f t="shared" si="131"/>
        <v>#NUM!</v>
      </c>
      <c r="FJ141" s="62">
        <f ca="1">AVERAGE(OFFSET($FI$3,0,0,'Données projet'!$E$16+1,1))-AVERAGE(OFFSET($H$3,0,0,'Données projet'!$E$16+1,1))</f>
        <v>248.75689726928428</v>
      </c>
      <c r="FK141" s="62">
        <f t="shared" si="156"/>
        <v>232.02291680388336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projet'!$B$16,Paramètres!$A$1:$I$89,3,0)*0.475*44/12</f>
        <v>0</v>
      </c>
      <c r="FR141" s="23">
        <f>EXP(-LN(2)/25)*FR140+(1-EXP(-LN(2)/25))/(LN(2)/25)*Calculateur!FM141*Calculateur!FO141*VLOOKUP('Données projet'!$B$16,Paramètres!$A$1:$I$89,3,0)*0.475*44/12</f>
        <v>0</v>
      </c>
      <c r="FS141" s="23">
        <f>EXP(-LN(2)/2)*FS140+(1-EXP(-LN(2)/2))/(LN(2)/2)*FM141*FP141*VLOOKUP('Données projet'!$B$16,Paramètres!$A$1:$I$89,3,0)*0.475*44/12</f>
        <v>0</v>
      </c>
      <c r="FT141" s="24">
        <f t="shared" si="132"/>
        <v>0</v>
      </c>
      <c r="FU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67.323644807439123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5.1159076974727213E-13</v>
      </c>
      <c r="GA141" s="18">
        <f>FZ141*VLOOKUP('Données projet'!$B$17,Paramètres!$A$1:$I$89,3,0)*VLOOKUP('Données projet'!$B$17,Paramètres!$A$1:$I$89,5,0)</f>
        <v>3.0593128030886877E-13</v>
      </c>
      <c r="GB141" s="14">
        <f t="shared" si="157"/>
        <v>4.0350537939347394E-12</v>
      </c>
      <c r="GC141" s="22">
        <f t="shared" si="133"/>
        <v>7.5605490043076185E-12</v>
      </c>
      <c r="GD141" s="62">
        <f t="shared" si="134"/>
        <v>283.52003096061765</v>
      </c>
      <c r="GE141" s="62">
        <f ca="1">AVERAGE(OFFSET($GD$3,0,0,'Données projet'!$E$17+1,1))-AVERAGE(OFFSET($H$3,0,0,'Données projet'!$E$17+1,1))</f>
        <v>315.909549580511</v>
      </c>
      <c r="GF141" s="62">
        <f t="shared" si="158"/>
        <v>208.56856525402051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projet'!$B$17,Paramètres!$A$1:$I$89,3,0)*0.475*44/12</f>
        <v>0</v>
      </c>
      <c r="GM141" s="23">
        <f>EXP(-LN(2)/25)*GM140+(1-EXP(-LN(2)/25))/(LN(2)/25)*Calculateur!GH141*Calculateur!GJ141*VLOOKUP('Données projet'!$B$17,Paramètres!$A$1:$I$89,3,0)*0.475*44/12</f>
        <v>0</v>
      </c>
      <c r="GN141" s="23">
        <f>EXP(-LN(2)/2)*GN140+(1-EXP(-LN(2)/2))/(LN(2)/2)*GH141*GK141*VLOOKUP('Données projet'!$B$17,Paramètres!$A$1:$I$89,3,0)*0.475*44/12</f>
        <v>0</v>
      </c>
      <c r="GO141" s="23">
        <f t="shared" si="135"/>
        <v>0</v>
      </c>
      <c r="GP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67.323644807439123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1.1368683772161603E-13</v>
      </c>
      <c r="GV141" s="18">
        <f>GU141*VLOOKUP('Données projet'!$B$18,Paramètres!$A$1:$I$89,3,0)*VLOOKUP('Données projet'!$B$18,Paramètres!$A$1:$I$89,5,0)</f>
        <v>7.626113074366004E-14</v>
      </c>
      <c r="GW141" s="14">
        <f t="shared" si="159"/>
        <v>1.1823749172251317E-12</v>
      </c>
      <c r="GX141" s="22">
        <f t="shared" si="136"/>
        <v>2.1921244502123119E-12</v>
      </c>
      <c r="GY141" s="62">
        <f t="shared" si="137"/>
        <v>283.5200309606123</v>
      </c>
      <c r="GZ141" s="62">
        <f ca="1">AVERAGE(OFFSET($GY$3,0,0,'Données projet'!$E$18+1,1))-AVERAGE(OFFSET($H$3,0,0,'Données projet'!$E$18+1,1))</f>
        <v>254.35742752782755</v>
      </c>
      <c r="HA141" s="62">
        <f t="shared" si="160"/>
        <v>171.79611712137395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>
        <f>EXP(-LN(2)/35)*HG140+(1-EXP(-LN(2)/35))/(LN(2)/35)*HC141*HD141*VLOOKUP('Données projet'!$B$18,Paramètres!$A$1:$I$89,3,0)*0.475*44/12</f>
        <v>0</v>
      </c>
      <c r="HH141" s="23">
        <f>EXP(-LN(2)/25)*HH140+(1-EXP(-LN(2)/25))/(LN(2)/25)*Calculateur!HC141*Calculateur!HE141*VLOOKUP('Données projet'!$B$18,Paramètres!$A$1:$I$89,3,0)*0.475*44/12</f>
        <v>0</v>
      </c>
      <c r="HI141" s="23">
        <f>EXP(-LN(2)/2)*HI140+(1-EXP(-LN(2)/2))/(LN(2)/2)*HC141*HF141*VLOOKUP('Données projet'!$B$18,Paramètres!$A$1:$I$89,3,0)*0.475*44/12</f>
        <v>0</v>
      </c>
      <c r="HJ141" s="24">
        <f t="shared" si="138"/>
        <v>0</v>
      </c>
    </row>
    <row r="142" spans="1:218" s="5" customFormat="1" x14ac:dyDescent="0.3">
      <c r="A142" s="11">
        <f t="shared" si="139"/>
        <v>139</v>
      </c>
      <c r="B142" s="76">
        <f>'Scénario référence'!$B$16*5+'Scénario référence'!$B$17*0+'Scénario référence'!$B$18*5</f>
        <v>3.9405000000000001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14.448500000000001</v>
      </c>
      <c r="H142" s="69">
        <f t="shared" si="110"/>
        <v>161.30656666666667</v>
      </c>
      <c r="I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67.370073586596234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210.54472399593521</v>
      </c>
      <c r="T142" s="62">
        <f t="shared" si="142"/>
        <v>181.14158435194193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67.370073586596234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289.05608923588198</v>
      </c>
      <c r="AO142" s="62">
        <f t="shared" si="144"/>
        <v>220.06639020312738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67.370073586596234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1.1879166666666663</v>
      </c>
      <c r="BD142" s="13">
        <f>IF('Données projet'!$A$88&gt;35,BD141+BC142-BL141,IF(A142&lt;'Données projet'!$A$88,$BA$205^A142,IF(A142='Données projet'!$A$88,'Données projet'!$B$88,BD141+BC142-BL141)))</f>
        <v>126.22458333333331</v>
      </c>
      <c r="BE142" s="14">
        <f>BD142*VLOOKUP('Données projet'!$B$11,Paramètres!$A$1:$I$89,3,0)*VLOOKUP('Données projet'!$B$11,Paramètres!$A$1:$I$89,5,0)</f>
        <v>145.41071999999997</v>
      </c>
      <c r="BF142" s="14">
        <f t="shared" si="145"/>
        <v>37.533776695922867</v>
      </c>
      <c r="BG142" s="22">
        <f t="shared" si="115"/>
        <v>318.62833174539895</v>
      </c>
      <c r="BH142" s="62">
        <f t="shared" si="116"/>
        <v>602.3186015629185</v>
      </c>
      <c r="BI142" s="62">
        <f ca="1">AVERAGE(OFFSET($BH$3,0,0,'Données projet'!$E$11+1,1))-AVERAGE(OFFSET($H$3,0,0,'Données projet'!$E$11+1,1))</f>
        <v>299.54950406029354</v>
      </c>
      <c r="BJ142" s="62">
        <f t="shared" si="146"/>
        <v>208.26364698165739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67.370073586596234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>
        <f>BY142*VLOOKUP('Données projet'!$B$12,Paramètres!$A$1:$I$89,3,0)*VLOOKUP('Données projet'!$B$12,Paramètres!$A$1:$I$89,5,0)</f>
        <v>0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441.30518831297212</v>
      </c>
      <c r="CE142" s="62">
        <f t="shared" si="148"/>
        <v>270.42872405271851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67.370073586596234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-1.1368683772161603E-13</v>
      </c>
      <c r="CU142" s="18">
        <f>CT142*VLOOKUP('Données projet'!$B$13,Paramètres!$A$1:$I$89,3,0)*VLOOKUP('Données projet'!$B$13,Paramètres!$A$1:$I$89,5,0)</f>
        <v>-9.9316821433603781E-14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310.81258463659196</v>
      </c>
      <c r="CZ142" s="62">
        <f t="shared" si="150"/>
        <v>287.31099756692083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67.370073586596234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>
        <f>DO142*VLOOKUP('Données projet'!$B$14,Paramètres!$A$1:$I$89,3,0)*VLOOKUP('Données projet'!$B$14,Paramètres!$A$1:$I$89,5,0)</f>
        <v>0</v>
      </c>
      <c r="DQ142" s="14" t="e">
        <f t="shared" si="151"/>
        <v>#NUM!</v>
      </c>
      <c r="DR142" s="22" t="e">
        <f t="shared" si="124"/>
        <v>#NUM!</v>
      </c>
      <c r="DS142" s="62" t="e">
        <f t="shared" si="125"/>
        <v>#NUM!</v>
      </c>
      <c r="DT142" s="62">
        <f ca="1">AVERAGE(OFFSET($DS$3,0,0,'Données projet'!$E$14+1,1))-AVERAGE(OFFSET($H$3,0,0,'Données projet'!$E$14+1,1))</f>
        <v>431.19274104373625</v>
      </c>
      <c r="DU142" s="62">
        <f t="shared" si="152"/>
        <v>264.67919175178133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67.370073586596234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-6.2527760746888816E-13</v>
      </c>
      <c r="EK142" s="18">
        <f>EJ142*VLOOKUP('Données projet'!$B$15,Paramètres!$A$1:$I$89,3,0)*VLOOKUP('Données projet'!$B$15,Paramètres!$A$1:$I$89,5,0)</f>
        <v>-2.9262992029543964E-13</v>
      </c>
      <c r="EL142" s="14" t="e">
        <f t="shared" si="153"/>
        <v>#NUM!</v>
      </c>
      <c r="EM142" s="22" t="e">
        <f t="shared" si="127"/>
        <v>#NUM!</v>
      </c>
      <c r="EN142" s="62" t="e">
        <f t="shared" si="128"/>
        <v>#NUM!</v>
      </c>
      <c r="EO142" s="62">
        <f ca="1">AVERAGE(OFFSET($EN$3,0,0,'Données projet'!$E$15+1,1))-AVERAGE(OFFSET($H$3,0,0,'Données projet'!$E$15+1,1))</f>
        <v>291.68530745507815</v>
      </c>
      <c r="EP142" s="62">
        <f t="shared" si="154"/>
        <v>175.95121106728979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0</v>
      </c>
      <c r="EZ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67.370073586596234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-1.1368683772161603E-13</v>
      </c>
      <c r="FF142" s="18">
        <f>FE142*VLOOKUP('Données projet'!$B$16,Paramètres!$A$1:$I$89,3,0)*VLOOKUP('Données projet'!$B$16,Paramètres!$A$1:$I$89,5,0)</f>
        <v>-7.4487616075202823E-14</v>
      </c>
      <c r="FG142" s="14" t="e">
        <f t="shared" si="155"/>
        <v>#NUM!</v>
      </c>
      <c r="FH142" s="22" t="e">
        <f t="shared" si="130"/>
        <v>#NUM!</v>
      </c>
      <c r="FI142" s="62" t="e">
        <f t="shared" si="131"/>
        <v>#NUM!</v>
      </c>
      <c r="FJ142" s="62">
        <f ca="1">AVERAGE(OFFSET($FI$3,0,0,'Données projet'!$E$16+1,1))-AVERAGE(OFFSET($H$3,0,0,'Données projet'!$E$16+1,1))</f>
        <v>248.75689726928428</v>
      </c>
      <c r="FK142" s="62">
        <f t="shared" si="156"/>
        <v>232.02291680388336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projet'!$B$16,Paramètres!$A$1:$I$89,3,0)*0.475*44/12</f>
        <v>0</v>
      </c>
      <c r="FR142" s="23">
        <f>EXP(-LN(2)/25)*FR141+(1-EXP(-LN(2)/25))/(LN(2)/25)*Calculateur!FM142*Calculateur!FO142*VLOOKUP('Données projet'!$B$16,Paramètres!$A$1:$I$89,3,0)*0.475*44/12</f>
        <v>0</v>
      </c>
      <c r="FS142" s="23">
        <f>EXP(-LN(2)/2)*FS141+(1-EXP(-LN(2)/2))/(LN(2)/2)*FM142*FP142*VLOOKUP('Données projet'!$B$16,Paramètres!$A$1:$I$89,3,0)*0.475*44/12</f>
        <v>0</v>
      </c>
      <c r="FT142" s="24">
        <f t="shared" si="132"/>
        <v>0</v>
      </c>
      <c r="FU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67.370073586596234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5.1159076974727213E-13</v>
      </c>
      <c r="GA142" s="18">
        <f>FZ142*VLOOKUP('Données projet'!$B$17,Paramètres!$A$1:$I$89,3,0)*VLOOKUP('Données projet'!$B$17,Paramètres!$A$1:$I$89,5,0)</f>
        <v>3.0593128030886877E-13</v>
      </c>
      <c r="GB142" s="14">
        <f t="shared" si="157"/>
        <v>4.0350537939347394E-12</v>
      </c>
      <c r="GC142" s="22">
        <f t="shared" si="133"/>
        <v>7.5605490043076185E-12</v>
      </c>
      <c r="GD142" s="62">
        <f t="shared" si="134"/>
        <v>283.69026981752711</v>
      </c>
      <c r="GE142" s="62">
        <f ca="1">AVERAGE(OFFSET($GD$3,0,0,'Données projet'!$E$17+1,1))-AVERAGE(OFFSET($H$3,0,0,'Données projet'!$E$17+1,1))</f>
        <v>315.909549580511</v>
      </c>
      <c r="GF142" s="62">
        <f t="shared" si="158"/>
        <v>208.56856525402051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projet'!$B$17,Paramètres!$A$1:$I$89,3,0)*0.475*44/12</f>
        <v>0</v>
      </c>
      <c r="GM142" s="23">
        <f>EXP(-LN(2)/25)*GM141+(1-EXP(-LN(2)/25))/(LN(2)/25)*Calculateur!GH142*Calculateur!GJ142*VLOOKUP('Données projet'!$B$17,Paramètres!$A$1:$I$89,3,0)*0.475*44/12</f>
        <v>0</v>
      </c>
      <c r="GN142" s="23">
        <f>EXP(-LN(2)/2)*GN141+(1-EXP(-LN(2)/2))/(LN(2)/2)*GH142*GK142*VLOOKUP('Données projet'!$B$17,Paramètres!$A$1:$I$89,3,0)*0.475*44/12</f>
        <v>0</v>
      </c>
      <c r="GO142" s="23">
        <f t="shared" si="135"/>
        <v>0</v>
      </c>
      <c r="GP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67.370073586596234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1.1368683772161603E-13</v>
      </c>
      <c r="GV142" s="18">
        <f>GU142*VLOOKUP('Données projet'!$B$18,Paramètres!$A$1:$I$89,3,0)*VLOOKUP('Données projet'!$B$18,Paramètres!$A$1:$I$89,5,0)</f>
        <v>7.626113074366004E-14</v>
      </c>
      <c r="GW142" s="14">
        <f t="shared" si="159"/>
        <v>1.1823749172251317E-12</v>
      </c>
      <c r="GX142" s="22">
        <f t="shared" si="136"/>
        <v>2.1921244502123119E-12</v>
      </c>
      <c r="GY142" s="62">
        <f t="shared" si="137"/>
        <v>283.69026981752177</v>
      </c>
      <c r="GZ142" s="62">
        <f ca="1">AVERAGE(OFFSET($GY$3,0,0,'Données projet'!$E$18+1,1))-AVERAGE(OFFSET($H$3,0,0,'Données projet'!$E$18+1,1))</f>
        <v>254.35742752782755</v>
      </c>
      <c r="HA142" s="62">
        <f t="shared" si="160"/>
        <v>171.79611712137395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>
        <f>EXP(-LN(2)/35)*HG141+(1-EXP(-LN(2)/35))/(LN(2)/35)*HC142*HD142*VLOOKUP('Données projet'!$B$18,Paramètres!$A$1:$I$89,3,0)*0.475*44/12</f>
        <v>0</v>
      </c>
      <c r="HH142" s="23">
        <f>EXP(-LN(2)/25)*HH141+(1-EXP(-LN(2)/25))/(LN(2)/25)*Calculateur!HC142*Calculateur!HE142*VLOOKUP('Données projet'!$B$18,Paramètres!$A$1:$I$89,3,0)*0.475*44/12</f>
        <v>0</v>
      </c>
      <c r="HI142" s="23">
        <f>EXP(-LN(2)/2)*HI141+(1-EXP(-LN(2)/2))/(LN(2)/2)*HC142*HF142*VLOOKUP('Données projet'!$B$18,Paramètres!$A$1:$I$89,3,0)*0.475*44/12</f>
        <v>0</v>
      </c>
      <c r="HJ142" s="24">
        <f t="shared" si="138"/>
        <v>0</v>
      </c>
    </row>
    <row r="143" spans="1:218" s="5" customFormat="1" x14ac:dyDescent="0.3">
      <c r="A143" s="11">
        <f t="shared" si="139"/>
        <v>140</v>
      </c>
      <c r="B143" s="76">
        <f>'Scénario référence'!$B$16*5+'Scénario référence'!$B$17*0+'Scénario référence'!$B$18*5</f>
        <v>3.9405000000000001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14.448500000000001</v>
      </c>
      <c r="H143" s="69">
        <f t="shared" si="110"/>
        <v>161.30656666666667</v>
      </c>
      <c r="I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67.415696930234162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210.54472399593521</v>
      </c>
      <c r="T143" s="62">
        <f t="shared" si="142"/>
        <v>181.14158435194193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67.415696930234162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289.05608923588198</v>
      </c>
      <c r="AO143" s="62">
        <f t="shared" si="144"/>
        <v>220.06639020312738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67.415696930234162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>
        <f>VLOOKUP(A143,'Données projet'!$A$87:$I$107,2,0)</f>
        <v>127.41250000000001</v>
      </c>
      <c r="BB143" s="13">
        <f>VLOOKUP(A143,'Données projet'!$A$87:$I$107,9,0)</f>
        <v>1.1879166666666663</v>
      </c>
      <c r="BC143" s="13">
        <f t="array" ref="BC143">INDEX(BB:BB,MIN(IF(ISNUMBER(BB143:BB339),ROW(BB143:BB339),"")))</f>
        <v>1.1879166666666663</v>
      </c>
      <c r="BD143" s="13">
        <f>IF('Données projet'!$A$88&gt;35,BD142+BC143-BL142,IF(A143&lt;'Données projet'!$A$88,$BA$205^A143,IF(A143='Données projet'!$A$88,'Données projet'!$B$88,BD142+BC143-BL142)))</f>
        <v>127.41249999999998</v>
      </c>
      <c r="BE143" s="14">
        <f>BD143*VLOOKUP('Données projet'!$B$11,Paramètres!$A$1:$I$89,3,0)*VLOOKUP('Données projet'!$B$11,Paramètres!$A$1:$I$89,5,0)</f>
        <v>146.77919999999997</v>
      </c>
      <c r="BF143" s="14">
        <f t="shared" si="145"/>
        <v>37.845725188874766</v>
      </c>
      <c r="BG143" s="22">
        <f t="shared" si="115"/>
        <v>321.55507803729012</v>
      </c>
      <c r="BH143" s="62">
        <f t="shared" si="116"/>
        <v>605.41263344814865</v>
      </c>
      <c r="BI143" s="62">
        <f ca="1">AVERAGE(OFFSET($BH$3,0,0,'Données projet'!$E$11+1,1))-AVERAGE(OFFSET($H$3,0,0,'Données projet'!$E$11+1,1))</f>
        <v>299.54950406029354</v>
      </c>
      <c r="BJ143" s="62">
        <f t="shared" si="146"/>
        <v>208.26364698165739</v>
      </c>
      <c r="BK143" s="16">
        <f>IF(ISNA(VLOOKUP(A143,'Données projet'!$A$87:$I$107,3,0)),0,VLOOKUP(A143,'Données projet'!$A$87:$I$107,3,0))</f>
        <v>12</v>
      </c>
      <c r="BL143" s="16">
        <f>IF(ISNA(VLOOKUP(A143,'Données projet'!$A$87:$I$107,4,0)),0,VLOOKUP(A143,'Données projet'!$A$87:$I$107,4,0))</f>
        <v>8.5416666666666679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67.415696930234162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>
        <f>BY143*VLOOKUP('Données projet'!$B$12,Paramètres!$A$1:$I$89,3,0)*VLOOKUP('Données projet'!$B$12,Paramètres!$A$1:$I$89,5,0)</f>
        <v>0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441.30518831297212</v>
      </c>
      <c r="CE143" s="62">
        <f t="shared" si="148"/>
        <v>270.42872405271851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67.415696930234162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-1.1368683772161603E-13</v>
      </c>
      <c r="CU143" s="18">
        <f>CT143*VLOOKUP('Données projet'!$B$13,Paramètres!$A$1:$I$89,3,0)*VLOOKUP('Données projet'!$B$13,Paramètres!$A$1:$I$89,5,0)</f>
        <v>-9.9316821433603781E-14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310.81258463659196</v>
      </c>
      <c r="CZ143" s="62">
        <f t="shared" si="150"/>
        <v>287.31099756692083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67.415696930234162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>
        <f>DO143*VLOOKUP('Données projet'!$B$14,Paramètres!$A$1:$I$89,3,0)*VLOOKUP('Données projet'!$B$14,Paramètres!$A$1:$I$89,5,0)</f>
        <v>0</v>
      </c>
      <c r="DQ143" s="14" t="e">
        <f t="shared" si="151"/>
        <v>#NUM!</v>
      </c>
      <c r="DR143" s="22" t="e">
        <f t="shared" si="124"/>
        <v>#NUM!</v>
      </c>
      <c r="DS143" s="62" t="e">
        <f t="shared" si="125"/>
        <v>#NUM!</v>
      </c>
      <c r="DT143" s="62">
        <f ca="1">AVERAGE(OFFSET($DS$3,0,0,'Données projet'!$E$14+1,1))-AVERAGE(OFFSET($H$3,0,0,'Données projet'!$E$14+1,1))</f>
        <v>431.19274104373625</v>
      </c>
      <c r="DU143" s="62">
        <f t="shared" si="152"/>
        <v>264.67919175178133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67.415696930234162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-6.2527760746888816E-13</v>
      </c>
      <c r="EK143" s="18">
        <f>EJ143*VLOOKUP('Données projet'!$B$15,Paramètres!$A$1:$I$89,3,0)*VLOOKUP('Données projet'!$B$15,Paramètres!$A$1:$I$89,5,0)</f>
        <v>-2.9262992029543964E-13</v>
      </c>
      <c r="EL143" s="14" t="e">
        <f t="shared" si="153"/>
        <v>#NUM!</v>
      </c>
      <c r="EM143" s="22" t="e">
        <f t="shared" si="127"/>
        <v>#NUM!</v>
      </c>
      <c r="EN143" s="62" t="e">
        <f t="shared" si="128"/>
        <v>#NUM!</v>
      </c>
      <c r="EO143" s="62">
        <f ca="1">AVERAGE(OFFSET($EN$3,0,0,'Données projet'!$E$15+1,1))-AVERAGE(OFFSET($H$3,0,0,'Données projet'!$E$15+1,1))</f>
        <v>291.68530745507815</v>
      </c>
      <c r="EP143" s="62">
        <f t="shared" si="154"/>
        <v>175.95121106728979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0</v>
      </c>
      <c r="EZ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67.415696930234162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-1.1368683772161603E-13</v>
      </c>
      <c r="FF143" s="18">
        <f>FE143*VLOOKUP('Données projet'!$B$16,Paramètres!$A$1:$I$89,3,0)*VLOOKUP('Données projet'!$B$16,Paramètres!$A$1:$I$89,5,0)</f>
        <v>-7.4487616075202823E-14</v>
      </c>
      <c r="FG143" s="14" t="e">
        <f t="shared" si="155"/>
        <v>#NUM!</v>
      </c>
      <c r="FH143" s="22" t="e">
        <f t="shared" si="130"/>
        <v>#NUM!</v>
      </c>
      <c r="FI143" s="62" t="e">
        <f t="shared" si="131"/>
        <v>#NUM!</v>
      </c>
      <c r="FJ143" s="62">
        <f ca="1">AVERAGE(OFFSET($FI$3,0,0,'Données projet'!$E$16+1,1))-AVERAGE(OFFSET($H$3,0,0,'Données projet'!$E$16+1,1))</f>
        <v>248.75689726928428</v>
      </c>
      <c r="FK143" s="62">
        <f t="shared" si="156"/>
        <v>232.02291680388336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projet'!$B$16,Paramètres!$A$1:$I$89,3,0)*0.475*44/12</f>
        <v>0</v>
      </c>
      <c r="FR143" s="23">
        <f>EXP(-LN(2)/25)*FR142+(1-EXP(-LN(2)/25))/(LN(2)/25)*Calculateur!FM143*Calculateur!FO143*VLOOKUP('Données projet'!$B$16,Paramètres!$A$1:$I$89,3,0)*0.475*44/12</f>
        <v>0</v>
      </c>
      <c r="FS143" s="23">
        <f>EXP(-LN(2)/2)*FS142+(1-EXP(-LN(2)/2))/(LN(2)/2)*FM143*FP143*VLOOKUP('Données projet'!$B$16,Paramètres!$A$1:$I$89,3,0)*0.475*44/12</f>
        <v>0</v>
      </c>
      <c r="FT143" s="24">
        <f t="shared" si="132"/>
        <v>0</v>
      </c>
      <c r="FU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67.415696930234162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5.1159076974727213E-13</v>
      </c>
      <c r="GA143" s="18">
        <f>FZ143*VLOOKUP('Données projet'!$B$17,Paramètres!$A$1:$I$89,3,0)*VLOOKUP('Données projet'!$B$17,Paramètres!$A$1:$I$89,5,0)</f>
        <v>3.0593128030886877E-13</v>
      </c>
      <c r="GB143" s="14">
        <f t="shared" si="157"/>
        <v>4.0350537939347394E-12</v>
      </c>
      <c r="GC143" s="22">
        <f t="shared" si="133"/>
        <v>7.5605490043076185E-12</v>
      </c>
      <c r="GD143" s="62">
        <f t="shared" si="134"/>
        <v>283.85755541086615</v>
      </c>
      <c r="GE143" s="62">
        <f ca="1">AVERAGE(OFFSET($GD$3,0,0,'Données projet'!$E$17+1,1))-AVERAGE(OFFSET($H$3,0,0,'Données projet'!$E$17+1,1))</f>
        <v>315.909549580511</v>
      </c>
      <c r="GF143" s="62">
        <f t="shared" si="158"/>
        <v>208.56856525402051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projet'!$B$17,Paramètres!$A$1:$I$89,3,0)*0.475*44/12</f>
        <v>0</v>
      </c>
      <c r="GM143" s="23">
        <f>EXP(-LN(2)/25)*GM142+(1-EXP(-LN(2)/25))/(LN(2)/25)*Calculateur!GH143*Calculateur!GJ143*VLOOKUP('Données projet'!$B$17,Paramètres!$A$1:$I$89,3,0)*0.475*44/12</f>
        <v>0</v>
      </c>
      <c r="GN143" s="23">
        <f>EXP(-LN(2)/2)*GN142+(1-EXP(-LN(2)/2))/(LN(2)/2)*GH143*GK143*VLOOKUP('Données projet'!$B$17,Paramètres!$A$1:$I$89,3,0)*0.475*44/12</f>
        <v>0</v>
      </c>
      <c r="GO143" s="23">
        <f t="shared" si="135"/>
        <v>0</v>
      </c>
      <c r="GP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67.415696930234162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1.1368683772161603E-13</v>
      </c>
      <c r="GV143" s="18">
        <f>GU143*VLOOKUP('Données projet'!$B$18,Paramètres!$A$1:$I$89,3,0)*VLOOKUP('Données projet'!$B$18,Paramètres!$A$1:$I$89,5,0)</f>
        <v>7.626113074366004E-14</v>
      </c>
      <c r="GW143" s="14">
        <f t="shared" si="159"/>
        <v>1.1823749172251317E-12</v>
      </c>
      <c r="GX143" s="22">
        <f t="shared" si="136"/>
        <v>2.1921244502123119E-12</v>
      </c>
      <c r="GY143" s="62">
        <f t="shared" si="137"/>
        <v>283.85755541086081</v>
      </c>
      <c r="GZ143" s="62">
        <f ca="1">AVERAGE(OFFSET($GY$3,0,0,'Données projet'!$E$18+1,1))-AVERAGE(OFFSET($H$3,0,0,'Données projet'!$E$18+1,1))</f>
        <v>254.35742752782755</v>
      </c>
      <c r="HA143" s="62">
        <f t="shared" si="160"/>
        <v>171.79611712137395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>
        <f>EXP(-LN(2)/35)*HG142+(1-EXP(-LN(2)/35))/(LN(2)/35)*HC143*HD143*VLOOKUP('Données projet'!$B$18,Paramètres!$A$1:$I$89,3,0)*0.475*44/12</f>
        <v>0</v>
      </c>
      <c r="HH143" s="23">
        <f>EXP(-LN(2)/25)*HH142+(1-EXP(-LN(2)/25))/(LN(2)/25)*Calculateur!HC143*Calculateur!HE143*VLOOKUP('Données projet'!$B$18,Paramètres!$A$1:$I$89,3,0)*0.475*44/12</f>
        <v>0</v>
      </c>
      <c r="HI143" s="23">
        <f>EXP(-LN(2)/2)*HI142+(1-EXP(-LN(2)/2))/(LN(2)/2)*HC143*HF143*VLOOKUP('Données projet'!$B$18,Paramètres!$A$1:$I$89,3,0)*0.475*44/12</f>
        <v>0</v>
      </c>
      <c r="HJ143" s="24">
        <f t="shared" si="138"/>
        <v>0</v>
      </c>
    </row>
    <row r="144" spans="1:218" s="5" customFormat="1" x14ac:dyDescent="0.3">
      <c r="A144" s="11">
        <f t="shared" si="139"/>
        <v>141</v>
      </c>
      <c r="B144" s="76">
        <f>'Scénario référence'!$B$16*5+'Scénario référence'!$B$17*0+'Scénario référence'!$B$18*5</f>
        <v>3.9405000000000001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14.448500000000001</v>
      </c>
      <c r="H144" s="69">
        <f t="shared" si="110"/>
        <v>161.30656666666667</v>
      </c>
      <c r="I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67.460528810858477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210.54472399593521</v>
      </c>
      <c r="T144" s="62">
        <f t="shared" si="142"/>
        <v>181.14158435194193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67.460528810858477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289.05608923588198</v>
      </c>
      <c r="AO144" s="62">
        <f t="shared" si="144"/>
        <v>220.06639020312738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67.460528810858477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1.1341666666666668</v>
      </c>
      <c r="BD144" s="13">
        <f>IF('Données projet'!$A$88&gt;35,BD143+BC144-BL143,IF(A144&lt;'Données projet'!$A$88,$BA$205^A144,IF(A144='Données projet'!$A$88,'Données projet'!$B$88,BD143+BC144-BL143)))</f>
        <v>120.00499999999998</v>
      </c>
      <c r="BE144" s="14">
        <f>BD144*VLOOKUP('Données projet'!$B$11,Paramètres!$A$1:$I$89,3,0)*VLOOKUP('Données projet'!$B$11,Paramètres!$A$1:$I$89,5,0)</f>
        <v>138.24575999999996</v>
      </c>
      <c r="BF144" s="14">
        <f t="shared" si="145"/>
        <v>35.89483929910822</v>
      </c>
      <c r="BG144" s="22">
        <f t="shared" si="115"/>
        <v>303.29487711261339</v>
      </c>
      <c r="BH144" s="62">
        <f t="shared" si="116"/>
        <v>587.31681608576116</v>
      </c>
      <c r="BI144" s="62">
        <f ca="1">AVERAGE(OFFSET($BH$3,0,0,'Données projet'!$E$11+1,1))-AVERAGE(OFFSET($H$3,0,0,'Données projet'!$E$11+1,1))</f>
        <v>299.54950406029354</v>
      </c>
      <c r="BJ144" s="62">
        <f t="shared" si="146"/>
        <v>208.26364698165739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67.460528810858477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>
        <f>BY144*VLOOKUP('Données projet'!$B$12,Paramètres!$A$1:$I$89,3,0)*VLOOKUP('Données projet'!$B$12,Paramètres!$A$1:$I$89,5,0)</f>
        <v>0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441.30518831297212</v>
      </c>
      <c r="CE144" s="62">
        <f t="shared" si="148"/>
        <v>270.42872405271851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67.460528810858477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-1.1368683772161603E-13</v>
      </c>
      <c r="CU144" s="18">
        <f>CT144*VLOOKUP('Données projet'!$B$13,Paramètres!$A$1:$I$89,3,0)*VLOOKUP('Données projet'!$B$13,Paramètres!$A$1:$I$89,5,0)</f>
        <v>-9.9316821433603781E-14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310.81258463659196</v>
      </c>
      <c r="CZ144" s="62">
        <f t="shared" si="150"/>
        <v>287.31099756692083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67.460528810858477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>
        <f>DO144*VLOOKUP('Données projet'!$B$14,Paramètres!$A$1:$I$89,3,0)*VLOOKUP('Données projet'!$B$14,Paramètres!$A$1:$I$89,5,0)</f>
        <v>0</v>
      </c>
      <c r="DQ144" s="14" t="e">
        <f t="shared" si="151"/>
        <v>#NUM!</v>
      </c>
      <c r="DR144" s="22" t="e">
        <f t="shared" si="124"/>
        <v>#NUM!</v>
      </c>
      <c r="DS144" s="62" t="e">
        <f t="shared" si="125"/>
        <v>#NUM!</v>
      </c>
      <c r="DT144" s="62">
        <f ca="1">AVERAGE(OFFSET($DS$3,0,0,'Données projet'!$E$14+1,1))-AVERAGE(OFFSET($H$3,0,0,'Données projet'!$E$14+1,1))</f>
        <v>431.19274104373625</v>
      </c>
      <c r="DU144" s="62">
        <f t="shared" si="152"/>
        <v>264.67919175178133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67.460528810858477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-6.2527760746888816E-13</v>
      </c>
      <c r="EK144" s="18">
        <f>EJ144*VLOOKUP('Données projet'!$B$15,Paramètres!$A$1:$I$89,3,0)*VLOOKUP('Données projet'!$B$15,Paramètres!$A$1:$I$89,5,0)</f>
        <v>-2.9262992029543964E-13</v>
      </c>
      <c r="EL144" s="14" t="e">
        <f t="shared" si="153"/>
        <v>#NUM!</v>
      </c>
      <c r="EM144" s="22" t="e">
        <f t="shared" si="127"/>
        <v>#NUM!</v>
      </c>
      <c r="EN144" s="62" t="e">
        <f t="shared" si="128"/>
        <v>#NUM!</v>
      </c>
      <c r="EO144" s="62">
        <f ca="1">AVERAGE(OFFSET($EN$3,0,0,'Données projet'!$E$15+1,1))-AVERAGE(OFFSET($H$3,0,0,'Données projet'!$E$15+1,1))</f>
        <v>291.68530745507815</v>
      </c>
      <c r="EP144" s="62">
        <f t="shared" si="154"/>
        <v>175.95121106728979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0</v>
      </c>
      <c r="EZ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67.460528810858477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-1.1368683772161603E-13</v>
      </c>
      <c r="FF144" s="18">
        <f>FE144*VLOOKUP('Données projet'!$B$16,Paramètres!$A$1:$I$89,3,0)*VLOOKUP('Données projet'!$B$16,Paramètres!$A$1:$I$89,5,0)</f>
        <v>-7.4487616075202823E-14</v>
      </c>
      <c r="FG144" s="14" t="e">
        <f t="shared" si="155"/>
        <v>#NUM!</v>
      </c>
      <c r="FH144" s="22" t="e">
        <f t="shared" si="130"/>
        <v>#NUM!</v>
      </c>
      <c r="FI144" s="62" t="e">
        <f t="shared" si="131"/>
        <v>#NUM!</v>
      </c>
      <c r="FJ144" s="62">
        <f ca="1">AVERAGE(OFFSET($FI$3,0,0,'Données projet'!$E$16+1,1))-AVERAGE(OFFSET($H$3,0,0,'Données projet'!$E$16+1,1))</f>
        <v>248.75689726928428</v>
      </c>
      <c r="FK144" s="62">
        <f t="shared" si="156"/>
        <v>232.02291680388336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projet'!$B$16,Paramètres!$A$1:$I$89,3,0)*0.475*44/12</f>
        <v>0</v>
      </c>
      <c r="FR144" s="23">
        <f>EXP(-LN(2)/25)*FR143+(1-EXP(-LN(2)/25))/(LN(2)/25)*Calculateur!FM144*Calculateur!FO144*VLOOKUP('Données projet'!$B$16,Paramètres!$A$1:$I$89,3,0)*0.475*44/12</f>
        <v>0</v>
      </c>
      <c r="FS144" s="23">
        <f>EXP(-LN(2)/2)*FS143+(1-EXP(-LN(2)/2))/(LN(2)/2)*FM144*FP144*VLOOKUP('Données projet'!$B$16,Paramètres!$A$1:$I$89,3,0)*0.475*44/12</f>
        <v>0</v>
      </c>
      <c r="FT144" s="24">
        <f t="shared" si="132"/>
        <v>0</v>
      </c>
      <c r="FU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67.460528810858477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5.1159076974727213E-13</v>
      </c>
      <c r="GA144" s="18">
        <f>FZ144*VLOOKUP('Données projet'!$B$17,Paramètres!$A$1:$I$89,3,0)*VLOOKUP('Données projet'!$B$17,Paramètres!$A$1:$I$89,5,0)</f>
        <v>3.0593128030886877E-13</v>
      </c>
      <c r="GB144" s="14">
        <f t="shared" si="157"/>
        <v>4.0350537939347394E-12</v>
      </c>
      <c r="GC144" s="22">
        <f t="shared" si="133"/>
        <v>7.5605490043076185E-12</v>
      </c>
      <c r="GD144" s="62">
        <f t="shared" si="134"/>
        <v>284.02193897315533</v>
      </c>
      <c r="GE144" s="62">
        <f ca="1">AVERAGE(OFFSET($GD$3,0,0,'Données projet'!$E$17+1,1))-AVERAGE(OFFSET($H$3,0,0,'Données projet'!$E$17+1,1))</f>
        <v>315.909549580511</v>
      </c>
      <c r="GF144" s="62">
        <f t="shared" si="158"/>
        <v>208.56856525402051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projet'!$B$17,Paramètres!$A$1:$I$89,3,0)*0.475*44/12</f>
        <v>0</v>
      </c>
      <c r="GM144" s="23">
        <f>EXP(-LN(2)/25)*GM143+(1-EXP(-LN(2)/25))/(LN(2)/25)*Calculateur!GH144*Calculateur!GJ144*VLOOKUP('Données projet'!$B$17,Paramètres!$A$1:$I$89,3,0)*0.475*44/12</f>
        <v>0</v>
      </c>
      <c r="GN144" s="23">
        <f>EXP(-LN(2)/2)*GN143+(1-EXP(-LN(2)/2))/(LN(2)/2)*GH144*GK144*VLOOKUP('Données projet'!$B$17,Paramètres!$A$1:$I$89,3,0)*0.475*44/12</f>
        <v>0</v>
      </c>
      <c r="GO144" s="23">
        <f t="shared" si="135"/>
        <v>0</v>
      </c>
      <c r="GP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67.460528810858477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1.1368683772161603E-13</v>
      </c>
      <c r="GV144" s="18">
        <f>GU144*VLOOKUP('Données projet'!$B$18,Paramètres!$A$1:$I$89,3,0)*VLOOKUP('Données projet'!$B$18,Paramètres!$A$1:$I$89,5,0)</f>
        <v>7.626113074366004E-14</v>
      </c>
      <c r="GW144" s="14">
        <f t="shared" si="159"/>
        <v>1.1823749172251317E-12</v>
      </c>
      <c r="GX144" s="22">
        <f t="shared" si="136"/>
        <v>2.1921244502123119E-12</v>
      </c>
      <c r="GY144" s="62">
        <f t="shared" si="137"/>
        <v>284.02193897314999</v>
      </c>
      <c r="GZ144" s="62">
        <f ca="1">AVERAGE(OFFSET($GY$3,0,0,'Données projet'!$E$18+1,1))-AVERAGE(OFFSET($H$3,0,0,'Données projet'!$E$18+1,1))</f>
        <v>254.35742752782755</v>
      </c>
      <c r="HA144" s="62">
        <f t="shared" si="160"/>
        <v>171.79611712137395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>
        <f>EXP(-LN(2)/35)*HG143+(1-EXP(-LN(2)/35))/(LN(2)/35)*HC144*HD144*VLOOKUP('Données projet'!$B$18,Paramètres!$A$1:$I$89,3,0)*0.475*44/12</f>
        <v>0</v>
      </c>
      <c r="HH144" s="23">
        <f>EXP(-LN(2)/25)*HH143+(1-EXP(-LN(2)/25))/(LN(2)/25)*Calculateur!HC144*Calculateur!HE144*VLOOKUP('Données projet'!$B$18,Paramètres!$A$1:$I$89,3,0)*0.475*44/12</f>
        <v>0</v>
      </c>
      <c r="HI144" s="23">
        <f>EXP(-LN(2)/2)*HI143+(1-EXP(-LN(2)/2))/(LN(2)/2)*HC144*HF144*VLOOKUP('Données projet'!$B$18,Paramètres!$A$1:$I$89,3,0)*0.475*44/12</f>
        <v>0</v>
      </c>
      <c r="HJ144" s="24">
        <f t="shared" si="138"/>
        <v>0</v>
      </c>
    </row>
    <row r="145" spans="1:218" s="5" customFormat="1" x14ac:dyDescent="0.3">
      <c r="A145" s="11">
        <f t="shared" si="139"/>
        <v>142</v>
      </c>
      <c r="B145" s="76">
        <f>'Scénario référence'!$B$16*5+'Scénario référence'!$B$17*0+'Scénario référence'!$B$18*5</f>
        <v>3.9405000000000001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14.448500000000001</v>
      </c>
      <c r="H145" s="69">
        <f t="shared" si="110"/>
        <v>161.30656666666667</v>
      </c>
      <c r="I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67.504582958583043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210.54472399593521</v>
      </c>
      <c r="T145" s="62">
        <f t="shared" si="142"/>
        <v>181.14158435194193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67.504582958583043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289.05608923588198</v>
      </c>
      <c r="AO145" s="62">
        <f t="shared" si="144"/>
        <v>220.06639020312738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67.504582958583043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1.1341666666666668</v>
      </c>
      <c r="BD145" s="13">
        <f>IF('Données projet'!$A$88&gt;35,BD144+BC145-BL144,IF(A145&lt;'Données projet'!$A$88,$BA$205^A145,IF(A145='Données projet'!$A$88,'Données projet'!$B$88,BD144+BC145-BL144)))</f>
        <v>121.13916666666665</v>
      </c>
      <c r="BE145" s="14">
        <f>BD145*VLOOKUP('Données projet'!$B$11,Paramètres!$A$1:$I$89,3,0)*VLOOKUP('Données projet'!$B$11,Paramètres!$A$1:$I$89,5,0)</f>
        <v>139.55231999999998</v>
      </c>
      <c r="BF145" s="14">
        <f t="shared" si="145"/>
        <v>36.194429184175888</v>
      </c>
      <c r="BG145" s="22">
        <f t="shared" si="115"/>
        <v>306.09225482910631</v>
      </c>
      <c r="BH145" s="62">
        <f t="shared" si="116"/>
        <v>590.27572567724405</v>
      </c>
      <c r="BI145" s="62">
        <f ca="1">AVERAGE(OFFSET($BH$3,0,0,'Données projet'!$E$11+1,1))-AVERAGE(OFFSET($H$3,0,0,'Données projet'!$E$11+1,1))</f>
        <v>299.54950406029354</v>
      </c>
      <c r="BJ145" s="62">
        <f t="shared" si="146"/>
        <v>208.26364698165739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67.504582958583043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>
        <f>BY145*VLOOKUP('Données projet'!$B$12,Paramètres!$A$1:$I$89,3,0)*VLOOKUP('Données projet'!$B$12,Paramètres!$A$1:$I$89,5,0)</f>
        <v>0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441.30518831297212</v>
      </c>
      <c r="CE145" s="62">
        <f t="shared" si="148"/>
        <v>270.42872405271851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67.504582958583043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-1.1368683772161603E-13</v>
      </c>
      <c r="CU145" s="18">
        <f>CT145*VLOOKUP('Données projet'!$B$13,Paramètres!$A$1:$I$89,3,0)*VLOOKUP('Données projet'!$B$13,Paramètres!$A$1:$I$89,5,0)</f>
        <v>-9.9316821433603781E-14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310.81258463659196</v>
      </c>
      <c r="CZ145" s="62">
        <f t="shared" si="150"/>
        <v>287.31099756692083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67.504582958583043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>
        <f>DO145*VLOOKUP('Données projet'!$B$14,Paramètres!$A$1:$I$89,3,0)*VLOOKUP('Données projet'!$B$14,Paramètres!$A$1:$I$89,5,0)</f>
        <v>0</v>
      </c>
      <c r="DQ145" s="14" t="e">
        <f t="shared" si="151"/>
        <v>#NUM!</v>
      </c>
      <c r="DR145" s="22" t="e">
        <f t="shared" si="124"/>
        <v>#NUM!</v>
      </c>
      <c r="DS145" s="62" t="e">
        <f t="shared" si="125"/>
        <v>#NUM!</v>
      </c>
      <c r="DT145" s="62">
        <f ca="1">AVERAGE(OFFSET($DS$3,0,0,'Données projet'!$E$14+1,1))-AVERAGE(OFFSET($H$3,0,0,'Données projet'!$E$14+1,1))</f>
        <v>431.19274104373625</v>
      </c>
      <c r="DU145" s="62">
        <f t="shared" si="152"/>
        <v>264.67919175178133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67.504582958583043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-6.2527760746888816E-13</v>
      </c>
      <c r="EK145" s="18">
        <f>EJ145*VLOOKUP('Données projet'!$B$15,Paramètres!$A$1:$I$89,3,0)*VLOOKUP('Données projet'!$B$15,Paramètres!$A$1:$I$89,5,0)</f>
        <v>-2.9262992029543964E-13</v>
      </c>
      <c r="EL145" s="14" t="e">
        <f t="shared" si="153"/>
        <v>#NUM!</v>
      </c>
      <c r="EM145" s="22" t="e">
        <f t="shared" si="127"/>
        <v>#NUM!</v>
      </c>
      <c r="EN145" s="62" t="e">
        <f t="shared" si="128"/>
        <v>#NUM!</v>
      </c>
      <c r="EO145" s="62">
        <f ca="1">AVERAGE(OFFSET($EN$3,0,0,'Données projet'!$E$15+1,1))-AVERAGE(OFFSET($H$3,0,0,'Données projet'!$E$15+1,1))</f>
        <v>291.68530745507815</v>
      </c>
      <c r="EP145" s="62">
        <f t="shared" si="154"/>
        <v>175.95121106728979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0</v>
      </c>
      <c r="EZ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67.504582958583043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-1.1368683772161603E-13</v>
      </c>
      <c r="FF145" s="18">
        <f>FE145*VLOOKUP('Données projet'!$B$16,Paramètres!$A$1:$I$89,3,0)*VLOOKUP('Données projet'!$B$16,Paramètres!$A$1:$I$89,5,0)</f>
        <v>-7.4487616075202823E-14</v>
      </c>
      <c r="FG145" s="14" t="e">
        <f t="shared" si="155"/>
        <v>#NUM!</v>
      </c>
      <c r="FH145" s="22" t="e">
        <f t="shared" si="130"/>
        <v>#NUM!</v>
      </c>
      <c r="FI145" s="62" t="e">
        <f t="shared" si="131"/>
        <v>#NUM!</v>
      </c>
      <c r="FJ145" s="62">
        <f ca="1">AVERAGE(OFFSET($FI$3,0,0,'Données projet'!$E$16+1,1))-AVERAGE(OFFSET($H$3,0,0,'Données projet'!$E$16+1,1))</f>
        <v>248.75689726928428</v>
      </c>
      <c r="FK145" s="62">
        <f t="shared" si="156"/>
        <v>232.02291680388336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projet'!$B$16,Paramètres!$A$1:$I$89,3,0)*0.475*44/12</f>
        <v>0</v>
      </c>
      <c r="FR145" s="23">
        <f>EXP(-LN(2)/25)*FR144+(1-EXP(-LN(2)/25))/(LN(2)/25)*Calculateur!FM145*Calculateur!FO145*VLOOKUP('Données projet'!$B$16,Paramètres!$A$1:$I$89,3,0)*0.475*44/12</f>
        <v>0</v>
      </c>
      <c r="FS145" s="23">
        <f>EXP(-LN(2)/2)*FS144+(1-EXP(-LN(2)/2))/(LN(2)/2)*FM145*FP145*VLOOKUP('Données projet'!$B$16,Paramètres!$A$1:$I$89,3,0)*0.475*44/12</f>
        <v>0</v>
      </c>
      <c r="FT145" s="24">
        <f t="shared" si="132"/>
        <v>0</v>
      </c>
      <c r="FU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67.504582958583043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5.1159076974727213E-13</v>
      </c>
      <c r="GA145" s="18">
        <f>FZ145*VLOOKUP('Données projet'!$B$17,Paramètres!$A$1:$I$89,3,0)*VLOOKUP('Données projet'!$B$17,Paramètres!$A$1:$I$89,5,0)</f>
        <v>3.0593128030886877E-13</v>
      </c>
      <c r="GB145" s="14">
        <f t="shared" si="157"/>
        <v>4.0350537939347394E-12</v>
      </c>
      <c r="GC145" s="22">
        <f t="shared" si="133"/>
        <v>7.5605490043076185E-12</v>
      </c>
      <c r="GD145" s="62">
        <f t="shared" si="134"/>
        <v>284.18347084814536</v>
      </c>
      <c r="GE145" s="62">
        <f ca="1">AVERAGE(OFFSET($GD$3,0,0,'Données projet'!$E$17+1,1))-AVERAGE(OFFSET($H$3,0,0,'Données projet'!$E$17+1,1))</f>
        <v>315.909549580511</v>
      </c>
      <c r="GF145" s="62">
        <f t="shared" si="158"/>
        <v>208.56856525402051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projet'!$B$17,Paramètres!$A$1:$I$89,3,0)*0.475*44/12</f>
        <v>0</v>
      </c>
      <c r="GM145" s="23">
        <f>EXP(-LN(2)/25)*GM144+(1-EXP(-LN(2)/25))/(LN(2)/25)*Calculateur!GH145*Calculateur!GJ145*VLOOKUP('Données projet'!$B$17,Paramètres!$A$1:$I$89,3,0)*0.475*44/12</f>
        <v>0</v>
      </c>
      <c r="GN145" s="23">
        <f>EXP(-LN(2)/2)*GN144+(1-EXP(-LN(2)/2))/(LN(2)/2)*GH145*GK145*VLOOKUP('Données projet'!$B$17,Paramètres!$A$1:$I$89,3,0)*0.475*44/12</f>
        <v>0</v>
      </c>
      <c r="GO145" s="23">
        <f t="shared" si="135"/>
        <v>0</v>
      </c>
      <c r="GP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67.504582958583043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1.1368683772161603E-13</v>
      </c>
      <c r="GV145" s="18">
        <f>GU145*VLOOKUP('Données projet'!$B$18,Paramètres!$A$1:$I$89,3,0)*VLOOKUP('Données projet'!$B$18,Paramètres!$A$1:$I$89,5,0)</f>
        <v>7.626113074366004E-14</v>
      </c>
      <c r="GW145" s="14">
        <f t="shared" si="159"/>
        <v>1.1823749172251317E-12</v>
      </c>
      <c r="GX145" s="22">
        <f t="shared" si="136"/>
        <v>2.1921244502123119E-12</v>
      </c>
      <c r="GY145" s="62">
        <f t="shared" si="137"/>
        <v>284.18347084814002</v>
      </c>
      <c r="GZ145" s="62">
        <f ca="1">AVERAGE(OFFSET($GY$3,0,0,'Données projet'!$E$18+1,1))-AVERAGE(OFFSET($H$3,0,0,'Données projet'!$E$18+1,1))</f>
        <v>254.35742752782755</v>
      </c>
      <c r="HA145" s="62">
        <f t="shared" si="160"/>
        <v>171.79611712137395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>
        <f>EXP(-LN(2)/35)*HG144+(1-EXP(-LN(2)/35))/(LN(2)/35)*HC145*HD145*VLOOKUP('Données projet'!$B$18,Paramètres!$A$1:$I$89,3,0)*0.475*44/12</f>
        <v>0</v>
      </c>
      <c r="HH145" s="23">
        <f>EXP(-LN(2)/25)*HH144+(1-EXP(-LN(2)/25))/(LN(2)/25)*Calculateur!HC145*Calculateur!HE145*VLOOKUP('Données projet'!$B$18,Paramètres!$A$1:$I$89,3,0)*0.475*44/12</f>
        <v>0</v>
      </c>
      <c r="HI145" s="23">
        <f>EXP(-LN(2)/2)*HI144+(1-EXP(-LN(2)/2))/(LN(2)/2)*HC145*HF145*VLOOKUP('Données projet'!$B$18,Paramètres!$A$1:$I$89,3,0)*0.475*44/12</f>
        <v>0</v>
      </c>
      <c r="HJ145" s="24">
        <f t="shared" si="138"/>
        <v>0</v>
      </c>
    </row>
    <row r="146" spans="1:218" s="5" customFormat="1" x14ac:dyDescent="0.3">
      <c r="A146" s="11">
        <f t="shared" si="139"/>
        <v>143</v>
      </c>
      <c r="B146" s="76">
        <f>'Scénario référence'!$B$16*5+'Scénario référence'!$B$17*0+'Scénario référence'!$B$18*5</f>
        <v>3.9405000000000001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14.448500000000001</v>
      </c>
      <c r="H146" s="69">
        <f t="shared" si="110"/>
        <v>161.30656666666667</v>
      </c>
      <c r="I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67.547872865334909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210.54472399593521</v>
      </c>
      <c r="T146" s="62">
        <f t="shared" si="142"/>
        <v>181.14158435194193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67.547872865334909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289.05608923588198</v>
      </c>
      <c r="AO146" s="62">
        <f t="shared" si="144"/>
        <v>220.06639020312738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67.547872865334909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1.1341666666666668</v>
      </c>
      <c r="BD146" s="13">
        <f>IF('Données projet'!$A$88&gt;35,BD145+BC146-BL145,IF(A146&lt;'Données projet'!$A$88,$BA$205^A146,IF(A146='Données projet'!$A$88,'Données projet'!$B$88,BD145+BC146-BL145)))</f>
        <v>122.27333333333333</v>
      </c>
      <c r="BE146" s="14">
        <f>BD146*VLOOKUP('Données projet'!$B$11,Paramètres!$A$1:$I$89,3,0)*VLOOKUP('Données projet'!$B$11,Paramètres!$A$1:$I$89,5,0)</f>
        <v>140.85887999999997</v>
      </c>
      <c r="BF146" s="14">
        <f t="shared" si="145"/>
        <v>36.49369275013197</v>
      </c>
      <c r="BG146" s="22">
        <f t="shared" si="115"/>
        <v>308.88906420647976</v>
      </c>
      <c r="BH146" s="62">
        <f t="shared" si="116"/>
        <v>593.2312647127078</v>
      </c>
      <c r="BI146" s="62">
        <f ca="1">AVERAGE(OFFSET($BH$3,0,0,'Données projet'!$E$11+1,1))-AVERAGE(OFFSET($H$3,0,0,'Données projet'!$E$11+1,1))</f>
        <v>299.54950406029354</v>
      </c>
      <c r="BJ146" s="62">
        <f t="shared" si="146"/>
        <v>208.26364698165739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67.547872865334909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>
        <f>BY146*VLOOKUP('Données projet'!$B$12,Paramètres!$A$1:$I$89,3,0)*VLOOKUP('Données projet'!$B$12,Paramètres!$A$1:$I$89,5,0)</f>
        <v>0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441.30518831297212</v>
      </c>
      <c r="CE146" s="62">
        <f t="shared" si="148"/>
        <v>270.42872405271851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67.547872865334909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-1.1368683772161603E-13</v>
      </c>
      <c r="CU146" s="18">
        <f>CT146*VLOOKUP('Données projet'!$B$13,Paramètres!$A$1:$I$89,3,0)*VLOOKUP('Données projet'!$B$13,Paramètres!$A$1:$I$89,5,0)</f>
        <v>-9.9316821433603781E-14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310.81258463659196</v>
      </c>
      <c r="CZ146" s="62">
        <f t="shared" si="150"/>
        <v>287.31099756692083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67.547872865334909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>
        <f>DO146*VLOOKUP('Données projet'!$B$14,Paramètres!$A$1:$I$89,3,0)*VLOOKUP('Données projet'!$B$14,Paramètres!$A$1:$I$89,5,0)</f>
        <v>0</v>
      </c>
      <c r="DQ146" s="14" t="e">
        <f t="shared" si="151"/>
        <v>#NUM!</v>
      </c>
      <c r="DR146" s="22" t="e">
        <f t="shared" si="124"/>
        <v>#NUM!</v>
      </c>
      <c r="DS146" s="62" t="e">
        <f t="shared" si="125"/>
        <v>#NUM!</v>
      </c>
      <c r="DT146" s="62">
        <f ca="1">AVERAGE(OFFSET($DS$3,0,0,'Données projet'!$E$14+1,1))-AVERAGE(OFFSET($H$3,0,0,'Données projet'!$E$14+1,1))</f>
        <v>431.19274104373625</v>
      </c>
      <c r="DU146" s="62">
        <f t="shared" si="152"/>
        <v>264.67919175178133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67.547872865334909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-6.2527760746888816E-13</v>
      </c>
      <c r="EK146" s="18">
        <f>EJ146*VLOOKUP('Données projet'!$B$15,Paramètres!$A$1:$I$89,3,0)*VLOOKUP('Données projet'!$B$15,Paramètres!$A$1:$I$89,5,0)</f>
        <v>-2.9262992029543964E-13</v>
      </c>
      <c r="EL146" s="14" t="e">
        <f t="shared" si="153"/>
        <v>#NUM!</v>
      </c>
      <c r="EM146" s="22" t="e">
        <f t="shared" si="127"/>
        <v>#NUM!</v>
      </c>
      <c r="EN146" s="62" t="e">
        <f t="shared" si="128"/>
        <v>#NUM!</v>
      </c>
      <c r="EO146" s="62">
        <f ca="1">AVERAGE(OFFSET($EN$3,0,0,'Données projet'!$E$15+1,1))-AVERAGE(OFFSET($H$3,0,0,'Données projet'!$E$15+1,1))</f>
        <v>291.68530745507815</v>
      </c>
      <c r="EP146" s="62">
        <f t="shared" si="154"/>
        <v>175.95121106728979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0</v>
      </c>
      <c r="EZ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67.547872865334909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-1.1368683772161603E-13</v>
      </c>
      <c r="FF146" s="18">
        <f>FE146*VLOOKUP('Données projet'!$B$16,Paramètres!$A$1:$I$89,3,0)*VLOOKUP('Données projet'!$B$16,Paramètres!$A$1:$I$89,5,0)</f>
        <v>-7.4487616075202823E-14</v>
      </c>
      <c r="FG146" s="14" t="e">
        <f t="shared" si="155"/>
        <v>#NUM!</v>
      </c>
      <c r="FH146" s="22" t="e">
        <f t="shared" si="130"/>
        <v>#NUM!</v>
      </c>
      <c r="FI146" s="62" t="e">
        <f t="shared" si="131"/>
        <v>#NUM!</v>
      </c>
      <c r="FJ146" s="62">
        <f ca="1">AVERAGE(OFFSET($FI$3,0,0,'Données projet'!$E$16+1,1))-AVERAGE(OFFSET($H$3,0,0,'Données projet'!$E$16+1,1))</f>
        <v>248.75689726928428</v>
      </c>
      <c r="FK146" s="62">
        <f t="shared" si="156"/>
        <v>232.02291680388336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projet'!$B$16,Paramètres!$A$1:$I$89,3,0)*0.475*44/12</f>
        <v>0</v>
      </c>
      <c r="FR146" s="23">
        <f>EXP(-LN(2)/25)*FR145+(1-EXP(-LN(2)/25))/(LN(2)/25)*Calculateur!FM146*Calculateur!FO146*VLOOKUP('Données projet'!$B$16,Paramètres!$A$1:$I$89,3,0)*0.475*44/12</f>
        <v>0</v>
      </c>
      <c r="FS146" s="23">
        <f>EXP(-LN(2)/2)*FS145+(1-EXP(-LN(2)/2))/(LN(2)/2)*FM146*FP146*VLOOKUP('Données projet'!$B$16,Paramètres!$A$1:$I$89,3,0)*0.475*44/12</f>
        <v>0</v>
      </c>
      <c r="FT146" s="24">
        <f t="shared" si="132"/>
        <v>0</v>
      </c>
      <c r="FU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67.547872865334909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5.1159076974727213E-13</v>
      </c>
      <c r="GA146" s="18">
        <f>FZ146*VLOOKUP('Données projet'!$B$17,Paramètres!$A$1:$I$89,3,0)*VLOOKUP('Données projet'!$B$17,Paramètres!$A$1:$I$89,5,0)</f>
        <v>3.0593128030886877E-13</v>
      </c>
      <c r="GB146" s="14">
        <f t="shared" si="157"/>
        <v>4.0350537939347394E-12</v>
      </c>
      <c r="GC146" s="22">
        <f t="shared" si="133"/>
        <v>7.5605490043076185E-12</v>
      </c>
      <c r="GD146" s="62">
        <f t="shared" si="134"/>
        <v>284.34220050623554</v>
      </c>
      <c r="GE146" s="62">
        <f ca="1">AVERAGE(OFFSET($GD$3,0,0,'Données projet'!$E$17+1,1))-AVERAGE(OFFSET($H$3,0,0,'Données projet'!$E$17+1,1))</f>
        <v>315.909549580511</v>
      </c>
      <c r="GF146" s="62">
        <f t="shared" si="158"/>
        <v>208.56856525402051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projet'!$B$17,Paramètres!$A$1:$I$89,3,0)*0.475*44/12</f>
        <v>0</v>
      </c>
      <c r="GM146" s="23">
        <f>EXP(-LN(2)/25)*GM145+(1-EXP(-LN(2)/25))/(LN(2)/25)*Calculateur!GH146*Calculateur!GJ146*VLOOKUP('Données projet'!$B$17,Paramètres!$A$1:$I$89,3,0)*0.475*44/12</f>
        <v>0</v>
      </c>
      <c r="GN146" s="23">
        <f>EXP(-LN(2)/2)*GN145+(1-EXP(-LN(2)/2))/(LN(2)/2)*GH146*GK146*VLOOKUP('Données projet'!$B$17,Paramètres!$A$1:$I$89,3,0)*0.475*44/12</f>
        <v>0</v>
      </c>
      <c r="GO146" s="23">
        <f t="shared" si="135"/>
        <v>0</v>
      </c>
      <c r="GP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67.547872865334909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1.1368683772161603E-13</v>
      </c>
      <c r="GV146" s="18">
        <f>GU146*VLOOKUP('Données projet'!$B$18,Paramètres!$A$1:$I$89,3,0)*VLOOKUP('Données projet'!$B$18,Paramètres!$A$1:$I$89,5,0)</f>
        <v>7.626113074366004E-14</v>
      </c>
      <c r="GW146" s="14">
        <f t="shared" si="159"/>
        <v>1.1823749172251317E-12</v>
      </c>
      <c r="GX146" s="22">
        <f t="shared" si="136"/>
        <v>2.1921244502123119E-12</v>
      </c>
      <c r="GY146" s="62">
        <f t="shared" si="137"/>
        <v>284.3422005062302</v>
      </c>
      <c r="GZ146" s="62">
        <f ca="1">AVERAGE(OFFSET($GY$3,0,0,'Données projet'!$E$18+1,1))-AVERAGE(OFFSET($H$3,0,0,'Données projet'!$E$18+1,1))</f>
        <v>254.35742752782755</v>
      </c>
      <c r="HA146" s="62">
        <f t="shared" si="160"/>
        <v>171.79611712137395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>
        <f>EXP(-LN(2)/35)*HG145+(1-EXP(-LN(2)/35))/(LN(2)/35)*HC146*HD146*VLOOKUP('Données projet'!$B$18,Paramètres!$A$1:$I$89,3,0)*0.475*44/12</f>
        <v>0</v>
      </c>
      <c r="HH146" s="23">
        <f>EXP(-LN(2)/25)*HH145+(1-EXP(-LN(2)/25))/(LN(2)/25)*Calculateur!HC146*Calculateur!HE146*VLOOKUP('Données projet'!$B$18,Paramètres!$A$1:$I$89,3,0)*0.475*44/12</f>
        <v>0</v>
      </c>
      <c r="HI146" s="23">
        <f>EXP(-LN(2)/2)*HI145+(1-EXP(-LN(2)/2))/(LN(2)/2)*HC146*HF146*VLOOKUP('Données projet'!$B$18,Paramètres!$A$1:$I$89,3,0)*0.475*44/12</f>
        <v>0</v>
      </c>
      <c r="HJ146" s="24">
        <f t="shared" si="138"/>
        <v>0</v>
      </c>
    </row>
    <row r="147" spans="1:218" s="5" customFormat="1" x14ac:dyDescent="0.3">
      <c r="A147" s="11">
        <f t="shared" si="139"/>
        <v>144</v>
      </c>
      <c r="B147" s="76">
        <f>'Scénario référence'!$B$16*5+'Scénario référence'!$B$17*0+'Scénario référence'!$B$18*5</f>
        <v>3.9405000000000001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14.448500000000001</v>
      </c>
      <c r="H147" s="69">
        <f t="shared" si="110"/>
        <v>161.30656666666667</v>
      </c>
      <c r="I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67.590411788986344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210.54472399593521</v>
      </c>
      <c r="T147" s="62">
        <f t="shared" si="142"/>
        <v>181.14158435194193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67.590411788986344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289.05608923588198</v>
      </c>
      <c r="AO147" s="62">
        <f t="shared" si="144"/>
        <v>220.06639020312738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67.590411788986344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1.1341666666666668</v>
      </c>
      <c r="BD147" s="13">
        <f>IF('Données projet'!$A$88&gt;35,BD146+BC147-BL146,IF(A147&lt;'Données projet'!$A$88,$BA$205^A147,IF(A147='Données projet'!$A$88,'Données projet'!$B$88,BD146+BC147-BL146)))</f>
        <v>123.4075</v>
      </c>
      <c r="BE147" s="14">
        <f>BD147*VLOOKUP('Données projet'!$B$11,Paramètres!$A$1:$I$89,3,0)*VLOOKUP('Données projet'!$B$11,Paramètres!$A$1:$I$89,5,0)</f>
        <v>142.16543999999999</v>
      </c>
      <c r="BF147" s="14">
        <f t="shared" si="145"/>
        <v>36.792633374400118</v>
      </c>
      <c r="BG147" s="22">
        <f t="shared" si="115"/>
        <v>311.68531112708018</v>
      </c>
      <c r="BH147" s="62">
        <f t="shared" si="116"/>
        <v>596.18348768669671</v>
      </c>
      <c r="BI147" s="62">
        <f ca="1">AVERAGE(OFFSET($BH$3,0,0,'Données projet'!$E$11+1,1))-AVERAGE(OFFSET($H$3,0,0,'Données projet'!$E$11+1,1))</f>
        <v>299.54950406029354</v>
      </c>
      <c r="BJ147" s="62">
        <f t="shared" si="146"/>
        <v>208.26364698165739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67.590411788986344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>
        <f>BY147*VLOOKUP('Données projet'!$B$12,Paramètres!$A$1:$I$89,3,0)*VLOOKUP('Données projet'!$B$12,Paramètres!$A$1:$I$89,5,0)</f>
        <v>0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441.30518831297212</v>
      </c>
      <c r="CE147" s="62">
        <f t="shared" si="148"/>
        <v>270.42872405271851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67.590411788986344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-1.1368683772161603E-13</v>
      </c>
      <c r="CU147" s="18">
        <f>CT147*VLOOKUP('Données projet'!$B$13,Paramètres!$A$1:$I$89,3,0)*VLOOKUP('Données projet'!$B$13,Paramètres!$A$1:$I$89,5,0)</f>
        <v>-9.9316821433603781E-14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310.81258463659196</v>
      </c>
      <c r="CZ147" s="62">
        <f t="shared" si="150"/>
        <v>287.31099756692083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67.590411788986344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>
        <f>DO147*VLOOKUP('Données projet'!$B$14,Paramètres!$A$1:$I$89,3,0)*VLOOKUP('Données projet'!$B$14,Paramètres!$A$1:$I$89,5,0)</f>
        <v>0</v>
      </c>
      <c r="DQ147" s="14" t="e">
        <f t="shared" si="151"/>
        <v>#NUM!</v>
      </c>
      <c r="DR147" s="22" t="e">
        <f t="shared" si="124"/>
        <v>#NUM!</v>
      </c>
      <c r="DS147" s="62" t="e">
        <f t="shared" si="125"/>
        <v>#NUM!</v>
      </c>
      <c r="DT147" s="62">
        <f ca="1">AVERAGE(OFFSET($DS$3,0,0,'Données projet'!$E$14+1,1))-AVERAGE(OFFSET($H$3,0,0,'Données projet'!$E$14+1,1))</f>
        <v>431.19274104373625</v>
      </c>
      <c r="DU147" s="62">
        <f t="shared" si="152"/>
        <v>264.67919175178133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67.590411788986344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-6.2527760746888816E-13</v>
      </c>
      <c r="EK147" s="18">
        <f>EJ147*VLOOKUP('Données projet'!$B$15,Paramètres!$A$1:$I$89,3,0)*VLOOKUP('Données projet'!$B$15,Paramètres!$A$1:$I$89,5,0)</f>
        <v>-2.9262992029543964E-13</v>
      </c>
      <c r="EL147" s="14" t="e">
        <f t="shared" si="153"/>
        <v>#NUM!</v>
      </c>
      <c r="EM147" s="22" t="e">
        <f t="shared" si="127"/>
        <v>#NUM!</v>
      </c>
      <c r="EN147" s="62" t="e">
        <f t="shared" si="128"/>
        <v>#NUM!</v>
      </c>
      <c r="EO147" s="62">
        <f ca="1">AVERAGE(OFFSET($EN$3,0,0,'Données projet'!$E$15+1,1))-AVERAGE(OFFSET($H$3,0,0,'Données projet'!$E$15+1,1))</f>
        <v>291.68530745507815</v>
      </c>
      <c r="EP147" s="62">
        <f t="shared" si="154"/>
        <v>175.95121106728979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0</v>
      </c>
      <c r="EZ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67.590411788986344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-1.1368683772161603E-13</v>
      </c>
      <c r="FF147" s="18">
        <f>FE147*VLOOKUP('Données projet'!$B$16,Paramètres!$A$1:$I$89,3,0)*VLOOKUP('Données projet'!$B$16,Paramètres!$A$1:$I$89,5,0)</f>
        <v>-7.4487616075202823E-14</v>
      </c>
      <c r="FG147" s="14" t="e">
        <f t="shared" si="155"/>
        <v>#NUM!</v>
      </c>
      <c r="FH147" s="22" t="e">
        <f t="shared" si="130"/>
        <v>#NUM!</v>
      </c>
      <c r="FI147" s="62" t="e">
        <f t="shared" si="131"/>
        <v>#NUM!</v>
      </c>
      <c r="FJ147" s="62">
        <f ca="1">AVERAGE(OFFSET($FI$3,0,0,'Données projet'!$E$16+1,1))-AVERAGE(OFFSET($H$3,0,0,'Données projet'!$E$16+1,1))</f>
        <v>248.75689726928428</v>
      </c>
      <c r="FK147" s="62">
        <f t="shared" si="156"/>
        <v>232.02291680388336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projet'!$B$16,Paramètres!$A$1:$I$89,3,0)*0.475*44/12</f>
        <v>0</v>
      </c>
      <c r="FR147" s="23">
        <f>EXP(-LN(2)/25)*FR146+(1-EXP(-LN(2)/25))/(LN(2)/25)*Calculateur!FM147*Calculateur!FO147*VLOOKUP('Données projet'!$B$16,Paramètres!$A$1:$I$89,3,0)*0.475*44/12</f>
        <v>0</v>
      </c>
      <c r="FS147" s="23">
        <f>EXP(-LN(2)/2)*FS146+(1-EXP(-LN(2)/2))/(LN(2)/2)*FM147*FP147*VLOOKUP('Données projet'!$B$16,Paramètres!$A$1:$I$89,3,0)*0.475*44/12</f>
        <v>0</v>
      </c>
      <c r="FT147" s="24">
        <f t="shared" si="132"/>
        <v>0</v>
      </c>
      <c r="FU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67.590411788986344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5.1159076974727213E-13</v>
      </c>
      <c r="GA147" s="18">
        <f>FZ147*VLOOKUP('Données projet'!$B$17,Paramètres!$A$1:$I$89,3,0)*VLOOKUP('Données projet'!$B$17,Paramètres!$A$1:$I$89,5,0)</f>
        <v>3.0593128030886877E-13</v>
      </c>
      <c r="GB147" s="14">
        <f t="shared" si="157"/>
        <v>4.0350537939347394E-12</v>
      </c>
      <c r="GC147" s="22">
        <f t="shared" si="133"/>
        <v>7.5605490043076185E-12</v>
      </c>
      <c r="GD147" s="62">
        <f t="shared" si="134"/>
        <v>284.49817655962414</v>
      </c>
      <c r="GE147" s="62">
        <f ca="1">AVERAGE(OFFSET($GD$3,0,0,'Données projet'!$E$17+1,1))-AVERAGE(OFFSET($H$3,0,0,'Données projet'!$E$17+1,1))</f>
        <v>315.909549580511</v>
      </c>
      <c r="GF147" s="62">
        <f t="shared" si="158"/>
        <v>208.56856525402051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projet'!$B$17,Paramètres!$A$1:$I$89,3,0)*0.475*44/12</f>
        <v>0</v>
      </c>
      <c r="GM147" s="23">
        <f>EXP(-LN(2)/25)*GM146+(1-EXP(-LN(2)/25))/(LN(2)/25)*Calculateur!GH147*Calculateur!GJ147*VLOOKUP('Données projet'!$B$17,Paramètres!$A$1:$I$89,3,0)*0.475*44/12</f>
        <v>0</v>
      </c>
      <c r="GN147" s="23">
        <f>EXP(-LN(2)/2)*GN146+(1-EXP(-LN(2)/2))/(LN(2)/2)*GH147*GK147*VLOOKUP('Données projet'!$B$17,Paramètres!$A$1:$I$89,3,0)*0.475*44/12</f>
        <v>0</v>
      </c>
      <c r="GO147" s="23">
        <f t="shared" si="135"/>
        <v>0</v>
      </c>
      <c r="GP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67.590411788986344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1.1368683772161603E-13</v>
      </c>
      <c r="GV147" s="18">
        <f>GU147*VLOOKUP('Données projet'!$B$18,Paramètres!$A$1:$I$89,3,0)*VLOOKUP('Données projet'!$B$18,Paramètres!$A$1:$I$89,5,0)</f>
        <v>7.626113074366004E-14</v>
      </c>
      <c r="GW147" s="14">
        <f t="shared" si="159"/>
        <v>1.1823749172251317E-12</v>
      </c>
      <c r="GX147" s="22">
        <f t="shared" si="136"/>
        <v>2.1921244502123119E-12</v>
      </c>
      <c r="GY147" s="62">
        <f t="shared" si="137"/>
        <v>284.4981765596188</v>
      </c>
      <c r="GZ147" s="62">
        <f ca="1">AVERAGE(OFFSET($GY$3,0,0,'Données projet'!$E$18+1,1))-AVERAGE(OFFSET($H$3,0,0,'Données projet'!$E$18+1,1))</f>
        <v>254.35742752782755</v>
      </c>
      <c r="HA147" s="62">
        <f t="shared" si="160"/>
        <v>171.79611712137395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>
        <f>EXP(-LN(2)/35)*HG146+(1-EXP(-LN(2)/35))/(LN(2)/35)*HC147*HD147*VLOOKUP('Données projet'!$B$18,Paramètres!$A$1:$I$89,3,0)*0.475*44/12</f>
        <v>0</v>
      </c>
      <c r="HH147" s="23">
        <f>EXP(-LN(2)/25)*HH146+(1-EXP(-LN(2)/25))/(LN(2)/25)*Calculateur!HC147*Calculateur!HE147*VLOOKUP('Données projet'!$B$18,Paramètres!$A$1:$I$89,3,0)*0.475*44/12</f>
        <v>0</v>
      </c>
      <c r="HI147" s="23">
        <f>EXP(-LN(2)/2)*HI146+(1-EXP(-LN(2)/2))/(LN(2)/2)*HC147*HF147*VLOOKUP('Données projet'!$B$18,Paramètres!$A$1:$I$89,3,0)*0.475*44/12</f>
        <v>0</v>
      </c>
      <c r="HJ147" s="24">
        <f t="shared" si="138"/>
        <v>0</v>
      </c>
    </row>
    <row r="148" spans="1:218" s="5" customFormat="1" x14ac:dyDescent="0.3">
      <c r="A148" s="11">
        <f t="shared" si="139"/>
        <v>145</v>
      </c>
      <c r="B148" s="76">
        <f>'Scénario référence'!$B$16*5+'Scénario référence'!$B$17*0+'Scénario référence'!$B$18*5</f>
        <v>3.9405000000000001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14.448500000000001</v>
      </c>
      <c r="H148" s="69">
        <f t="shared" si="110"/>
        <v>161.30656666666667</v>
      </c>
      <c r="I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67.632212757415246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210.54472399593521</v>
      </c>
      <c r="T148" s="62">
        <f t="shared" si="142"/>
        <v>181.14158435194193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67.632212757415246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289.05608923588198</v>
      </c>
      <c r="AO148" s="62">
        <f t="shared" si="144"/>
        <v>220.06639020312738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67.632212757415246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1.1341666666666668</v>
      </c>
      <c r="BD148" s="13">
        <f>IF('Données projet'!$A$88&gt;35,BD147+BC148-BL147,IF(A148&lt;'Données projet'!$A$88,$BA$205^A148,IF(A148='Données projet'!$A$88,'Données projet'!$B$88,BD147+BC148-BL147)))</f>
        <v>124.54166666666667</v>
      </c>
      <c r="BE148" s="14">
        <f>BD148*VLOOKUP('Données projet'!$B$11,Paramètres!$A$1:$I$89,3,0)*VLOOKUP('Données projet'!$B$11,Paramètres!$A$1:$I$89,5,0)</f>
        <v>143.47200000000001</v>
      </c>
      <c r="BF148" s="14">
        <f t="shared" si="145"/>
        <v>37.091254368743478</v>
      </c>
      <c r="BG148" s="22">
        <f t="shared" si="115"/>
        <v>314.4810013588949</v>
      </c>
      <c r="BH148" s="62">
        <f t="shared" si="116"/>
        <v>599.13244813608412</v>
      </c>
      <c r="BI148" s="62">
        <f ca="1">AVERAGE(OFFSET($BH$3,0,0,'Données projet'!$E$11+1,1))-AVERAGE(OFFSET($H$3,0,0,'Données projet'!$E$11+1,1))</f>
        <v>299.54950406029354</v>
      </c>
      <c r="BJ148" s="62">
        <f t="shared" si="146"/>
        <v>208.26364698165739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67.632212757415246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>
        <f>BY148*VLOOKUP('Données projet'!$B$12,Paramètres!$A$1:$I$89,3,0)*VLOOKUP('Données projet'!$B$12,Paramètres!$A$1:$I$89,5,0)</f>
        <v>0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441.30518831297212</v>
      </c>
      <c r="CE148" s="62">
        <f t="shared" si="148"/>
        <v>270.42872405271851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67.632212757415246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-1.1368683772161603E-13</v>
      </c>
      <c r="CU148" s="18">
        <f>CT148*VLOOKUP('Données projet'!$B$13,Paramètres!$A$1:$I$89,3,0)*VLOOKUP('Données projet'!$B$13,Paramètres!$A$1:$I$89,5,0)</f>
        <v>-9.9316821433603781E-14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310.81258463659196</v>
      </c>
      <c r="CZ148" s="62">
        <f t="shared" si="150"/>
        <v>287.31099756692083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67.632212757415246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>
        <f>DO148*VLOOKUP('Données projet'!$B$14,Paramètres!$A$1:$I$89,3,0)*VLOOKUP('Données projet'!$B$14,Paramètres!$A$1:$I$89,5,0)</f>
        <v>0</v>
      </c>
      <c r="DQ148" s="14" t="e">
        <f t="shared" si="151"/>
        <v>#NUM!</v>
      </c>
      <c r="DR148" s="22" t="e">
        <f t="shared" si="124"/>
        <v>#NUM!</v>
      </c>
      <c r="DS148" s="62" t="e">
        <f t="shared" si="125"/>
        <v>#NUM!</v>
      </c>
      <c r="DT148" s="62">
        <f ca="1">AVERAGE(OFFSET($DS$3,0,0,'Données projet'!$E$14+1,1))-AVERAGE(OFFSET($H$3,0,0,'Données projet'!$E$14+1,1))</f>
        <v>431.19274104373625</v>
      </c>
      <c r="DU148" s="62">
        <f t="shared" si="152"/>
        <v>264.67919175178133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67.632212757415246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-6.2527760746888816E-13</v>
      </c>
      <c r="EK148" s="18">
        <f>EJ148*VLOOKUP('Données projet'!$B$15,Paramètres!$A$1:$I$89,3,0)*VLOOKUP('Données projet'!$B$15,Paramètres!$A$1:$I$89,5,0)</f>
        <v>-2.9262992029543964E-13</v>
      </c>
      <c r="EL148" s="14" t="e">
        <f t="shared" si="153"/>
        <v>#NUM!</v>
      </c>
      <c r="EM148" s="22" t="e">
        <f t="shared" si="127"/>
        <v>#NUM!</v>
      </c>
      <c r="EN148" s="62" t="e">
        <f t="shared" si="128"/>
        <v>#NUM!</v>
      </c>
      <c r="EO148" s="62">
        <f ca="1">AVERAGE(OFFSET($EN$3,0,0,'Données projet'!$E$15+1,1))-AVERAGE(OFFSET($H$3,0,0,'Données projet'!$E$15+1,1))</f>
        <v>291.68530745507815</v>
      </c>
      <c r="EP148" s="62">
        <f t="shared" si="154"/>
        <v>175.95121106728979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0</v>
      </c>
      <c r="EZ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67.632212757415246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-1.1368683772161603E-13</v>
      </c>
      <c r="FF148" s="18">
        <f>FE148*VLOOKUP('Données projet'!$B$16,Paramètres!$A$1:$I$89,3,0)*VLOOKUP('Données projet'!$B$16,Paramètres!$A$1:$I$89,5,0)</f>
        <v>-7.4487616075202823E-14</v>
      </c>
      <c r="FG148" s="14" t="e">
        <f t="shared" si="155"/>
        <v>#NUM!</v>
      </c>
      <c r="FH148" s="22" t="e">
        <f t="shared" si="130"/>
        <v>#NUM!</v>
      </c>
      <c r="FI148" s="62" t="e">
        <f t="shared" si="131"/>
        <v>#NUM!</v>
      </c>
      <c r="FJ148" s="62">
        <f ca="1">AVERAGE(OFFSET($FI$3,0,0,'Données projet'!$E$16+1,1))-AVERAGE(OFFSET($H$3,0,0,'Données projet'!$E$16+1,1))</f>
        <v>248.75689726928428</v>
      </c>
      <c r="FK148" s="62">
        <f t="shared" si="156"/>
        <v>232.02291680388336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projet'!$B$16,Paramètres!$A$1:$I$89,3,0)*0.475*44/12</f>
        <v>0</v>
      </c>
      <c r="FR148" s="23">
        <f>EXP(-LN(2)/25)*FR147+(1-EXP(-LN(2)/25))/(LN(2)/25)*Calculateur!FM148*Calculateur!FO148*VLOOKUP('Données projet'!$B$16,Paramètres!$A$1:$I$89,3,0)*0.475*44/12</f>
        <v>0</v>
      </c>
      <c r="FS148" s="23">
        <f>EXP(-LN(2)/2)*FS147+(1-EXP(-LN(2)/2))/(LN(2)/2)*FM148*FP148*VLOOKUP('Données projet'!$B$16,Paramètres!$A$1:$I$89,3,0)*0.475*44/12</f>
        <v>0</v>
      </c>
      <c r="FT148" s="24">
        <f t="shared" si="132"/>
        <v>0</v>
      </c>
      <c r="FU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67.632212757415246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5.1159076974727213E-13</v>
      </c>
      <c r="GA148" s="18">
        <f>FZ148*VLOOKUP('Données projet'!$B$17,Paramètres!$A$1:$I$89,3,0)*VLOOKUP('Données projet'!$B$17,Paramètres!$A$1:$I$89,5,0)</f>
        <v>3.0593128030886877E-13</v>
      </c>
      <c r="GB148" s="14">
        <f t="shared" si="157"/>
        <v>4.0350537939347394E-12</v>
      </c>
      <c r="GC148" s="22">
        <f t="shared" si="133"/>
        <v>7.5605490043076185E-12</v>
      </c>
      <c r="GD148" s="62">
        <f t="shared" si="134"/>
        <v>284.65144677719678</v>
      </c>
      <c r="GE148" s="62">
        <f ca="1">AVERAGE(OFFSET($GD$3,0,0,'Données projet'!$E$17+1,1))-AVERAGE(OFFSET($H$3,0,0,'Données projet'!$E$17+1,1))</f>
        <v>315.909549580511</v>
      </c>
      <c r="GF148" s="62">
        <f t="shared" si="158"/>
        <v>208.56856525402051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projet'!$B$17,Paramètres!$A$1:$I$89,3,0)*0.475*44/12</f>
        <v>0</v>
      </c>
      <c r="GM148" s="23">
        <f>EXP(-LN(2)/25)*GM147+(1-EXP(-LN(2)/25))/(LN(2)/25)*Calculateur!GH148*Calculateur!GJ148*VLOOKUP('Données projet'!$B$17,Paramètres!$A$1:$I$89,3,0)*0.475*44/12</f>
        <v>0</v>
      </c>
      <c r="GN148" s="23">
        <f>EXP(-LN(2)/2)*GN147+(1-EXP(-LN(2)/2))/(LN(2)/2)*GH148*GK148*VLOOKUP('Données projet'!$B$17,Paramètres!$A$1:$I$89,3,0)*0.475*44/12</f>
        <v>0</v>
      </c>
      <c r="GO148" s="23">
        <f t="shared" si="135"/>
        <v>0</v>
      </c>
      <c r="GP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67.632212757415246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1.1368683772161603E-13</v>
      </c>
      <c r="GV148" s="18">
        <f>GU148*VLOOKUP('Données projet'!$B$18,Paramètres!$A$1:$I$89,3,0)*VLOOKUP('Données projet'!$B$18,Paramètres!$A$1:$I$89,5,0)</f>
        <v>7.626113074366004E-14</v>
      </c>
      <c r="GW148" s="14">
        <f t="shared" si="159"/>
        <v>1.1823749172251317E-12</v>
      </c>
      <c r="GX148" s="22">
        <f t="shared" si="136"/>
        <v>2.1921244502123119E-12</v>
      </c>
      <c r="GY148" s="62">
        <f t="shared" si="137"/>
        <v>284.65144677719144</v>
      </c>
      <c r="GZ148" s="62">
        <f ca="1">AVERAGE(OFFSET($GY$3,0,0,'Données projet'!$E$18+1,1))-AVERAGE(OFFSET($H$3,0,0,'Données projet'!$E$18+1,1))</f>
        <v>254.35742752782755</v>
      </c>
      <c r="HA148" s="62">
        <f t="shared" si="160"/>
        <v>171.79611712137395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>
        <f>EXP(-LN(2)/35)*HG147+(1-EXP(-LN(2)/35))/(LN(2)/35)*HC148*HD148*VLOOKUP('Données projet'!$B$18,Paramètres!$A$1:$I$89,3,0)*0.475*44/12</f>
        <v>0</v>
      </c>
      <c r="HH148" s="23">
        <f>EXP(-LN(2)/25)*HH147+(1-EXP(-LN(2)/25))/(LN(2)/25)*Calculateur!HC148*Calculateur!HE148*VLOOKUP('Données projet'!$B$18,Paramètres!$A$1:$I$89,3,0)*0.475*44/12</f>
        <v>0</v>
      </c>
      <c r="HI148" s="23">
        <f>EXP(-LN(2)/2)*HI147+(1-EXP(-LN(2)/2))/(LN(2)/2)*HC148*HF148*VLOOKUP('Données projet'!$B$18,Paramètres!$A$1:$I$89,3,0)*0.475*44/12</f>
        <v>0</v>
      </c>
      <c r="HJ148" s="24">
        <f t="shared" si="138"/>
        <v>0</v>
      </c>
    </row>
    <row r="149" spans="1:218" s="5" customFormat="1" x14ac:dyDescent="0.3">
      <c r="A149" s="11">
        <f t="shared" si="139"/>
        <v>146</v>
      </c>
      <c r="B149" s="76">
        <f>'Scénario référence'!$B$16*5+'Scénario référence'!$B$17*0+'Scénario référence'!$B$18*5</f>
        <v>3.9405000000000001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14.448500000000001</v>
      </c>
      <c r="H149" s="69">
        <f t="shared" si="110"/>
        <v>161.30656666666667</v>
      </c>
      <c r="I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67.673288572494855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210.54472399593521</v>
      </c>
      <c r="T149" s="62">
        <f t="shared" si="142"/>
        <v>181.14158435194193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67.673288572494855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289.05608923588198</v>
      </c>
      <c r="AO149" s="62">
        <f t="shared" si="144"/>
        <v>220.06639020312738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67.673288572494855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1.1341666666666668</v>
      </c>
      <c r="BD149" s="13">
        <f>IF('Données projet'!$A$88&gt;35,BD148+BC149-BL148,IF(A149&lt;'Données projet'!$A$88,$BA$205^A149,IF(A149='Données projet'!$A$88,'Données projet'!$B$88,BD148+BC149-BL148)))</f>
        <v>125.67583333333334</v>
      </c>
      <c r="BE149" s="14">
        <f>BD149*VLOOKUP('Données projet'!$B$11,Paramètres!$A$1:$I$89,3,0)*VLOOKUP('Données projet'!$B$11,Paramètres!$A$1:$I$89,5,0)</f>
        <v>144.77856</v>
      </c>
      <c r="BF149" s="14">
        <f t="shared" si="145"/>
        <v>37.389558981127166</v>
      </c>
      <c r="BG149" s="22">
        <f t="shared" si="115"/>
        <v>317.2761405587965</v>
      </c>
      <c r="BH149" s="62">
        <f t="shared" si="116"/>
        <v>602.07819865794431</v>
      </c>
      <c r="BI149" s="62">
        <f ca="1">AVERAGE(OFFSET($BH$3,0,0,'Données projet'!$E$11+1,1))-AVERAGE(OFFSET($H$3,0,0,'Données projet'!$E$11+1,1))</f>
        <v>299.54950406029354</v>
      </c>
      <c r="BJ149" s="62">
        <f t="shared" si="146"/>
        <v>208.26364698165739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67.673288572494855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>
        <f>BY149*VLOOKUP('Données projet'!$B$12,Paramètres!$A$1:$I$89,3,0)*VLOOKUP('Données projet'!$B$12,Paramètres!$A$1:$I$89,5,0)</f>
        <v>0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441.30518831297212</v>
      </c>
      <c r="CE149" s="62">
        <f t="shared" si="148"/>
        <v>270.42872405271851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67.673288572494855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-1.1368683772161603E-13</v>
      </c>
      <c r="CU149" s="18">
        <f>CT149*VLOOKUP('Données projet'!$B$13,Paramètres!$A$1:$I$89,3,0)*VLOOKUP('Données projet'!$B$13,Paramètres!$A$1:$I$89,5,0)</f>
        <v>-9.9316821433603781E-14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310.81258463659196</v>
      </c>
      <c r="CZ149" s="62">
        <f t="shared" si="150"/>
        <v>287.31099756692083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67.673288572494855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>
        <f>DO149*VLOOKUP('Données projet'!$B$14,Paramètres!$A$1:$I$89,3,0)*VLOOKUP('Données projet'!$B$14,Paramètres!$A$1:$I$89,5,0)</f>
        <v>0</v>
      </c>
      <c r="DQ149" s="14" t="e">
        <f t="shared" si="151"/>
        <v>#NUM!</v>
      </c>
      <c r="DR149" s="22" t="e">
        <f t="shared" si="124"/>
        <v>#NUM!</v>
      </c>
      <c r="DS149" s="62" t="e">
        <f t="shared" si="125"/>
        <v>#NUM!</v>
      </c>
      <c r="DT149" s="62">
        <f ca="1">AVERAGE(OFFSET($DS$3,0,0,'Données projet'!$E$14+1,1))-AVERAGE(OFFSET($H$3,0,0,'Données projet'!$E$14+1,1))</f>
        <v>431.19274104373625</v>
      </c>
      <c r="DU149" s="62">
        <f t="shared" si="152"/>
        <v>264.67919175178133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67.673288572494855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-6.2527760746888816E-13</v>
      </c>
      <c r="EK149" s="18">
        <f>EJ149*VLOOKUP('Données projet'!$B$15,Paramètres!$A$1:$I$89,3,0)*VLOOKUP('Données projet'!$B$15,Paramètres!$A$1:$I$89,5,0)</f>
        <v>-2.9262992029543964E-13</v>
      </c>
      <c r="EL149" s="14" t="e">
        <f t="shared" si="153"/>
        <v>#NUM!</v>
      </c>
      <c r="EM149" s="22" t="e">
        <f t="shared" si="127"/>
        <v>#NUM!</v>
      </c>
      <c r="EN149" s="62" t="e">
        <f t="shared" si="128"/>
        <v>#NUM!</v>
      </c>
      <c r="EO149" s="62">
        <f ca="1">AVERAGE(OFFSET($EN$3,0,0,'Données projet'!$E$15+1,1))-AVERAGE(OFFSET($H$3,0,0,'Données projet'!$E$15+1,1))</f>
        <v>291.68530745507815</v>
      </c>
      <c r="EP149" s="62">
        <f t="shared" si="154"/>
        <v>175.95121106728979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0</v>
      </c>
      <c r="EZ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67.673288572494855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-1.1368683772161603E-13</v>
      </c>
      <c r="FF149" s="18">
        <f>FE149*VLOOKUP('Données projet'!$B$16,Paramètres!$A$1:$I$89,3,0)*VLOOKUP('Données projet'!$B$16,Paramètres!$A$1:$I$89,5,0)</f>
        <v>-7.4487616075202823E-14</v>
      </c>
      <c r="FG149" s="14" t="e">
        <f t="shared" si="155"/>
        <v>#NUM!</v>
      </c>
      <c r="FH149" s="22" t="e">
        <f t="shared" si="130"/>
        <v>#NUM!</v>
      </c>
      <c r="FI149" s="62" t="e">
        <f t="shared" si="131"/>
        <v>#NUM!</v>
      </c>
      <c r="FJ149" s="62">
        <f ca="1">AVERAGE(OFFSET($FI$3,0,0,'Données projet'!$E$16+1,1))-AVERAGE(OFFSET($H$3,0,0,'Données projet'!$E$16+1,1))</f>
        <v>248.75689726928428</v>
      </c>
      <c r="FK149" s="62">
        <f t="shared" si="156"/>
        <v>232.02291680388336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projet'!$B$16,Paramètres!$A$1:$I$89,3,0)*0.475*44/12</f>
        <v>0</v>
      </c>
      <c r="FR149" s="23">
        <f>EXP(-LN(2)/25)*FR148+(1-EXP(-LN(2)/25))/(LN(2)/25)*Calculateur!FM149*Calculateur!FO149*VLOOKUP('Données projet'!$B$16,Paramètres!$A$1:$I$89,3,0)*0.475*44/12</f>
        <v>0</v>
      </c>
      <c r="FS149" s="23">
        <f>EXP(-LN(2)/2)*FS148+(1-EXP(-LN(2)/2))/(LN(2)/2)*FM149*FP149*VLOOKUP('Données projet'!$B$16,Paramètres!$A$1:$I$89,3,0)*0.475*44/12</f>
        <v>0</v>
      </c>
      <c r="FT149" s="24">
        <f t="shared" si="132"/>
        <v>0</v>
      </c>
      <c r="FU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67.673288572494855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5.1159076974727213E-13</v>
      </c>
      <c r="GA149" s="18">
        <f>FZ149*VLOOKUP('Données projet'!$B$17,Paramètres!$A$1:$I$89,3,0)*VLOOKUP('Données projet'!$B$17,Paramètres!$A$1:$I$89,5,0)</f>
        <v>3.0593128030886877E-13</v>
      </c>
      <c r="GB149" s="14">
        <f t="shared" si="157"/>
        <v>4.0350537939347394E-12</v>
      </c>
      <c r="GC149" s="22">
        <f t="shared" si="133"/>
        <v>7.5605490043076185E-12</v>
      </c>
      <c r="GD149" s="62">
        <f t="shared" si="134"/>
        <v>284.80205809915537</v>
      </c>
      <c r="GE149" s="62">
        <f ca="1">AVERAGE(OFFSET($GD$3,0,0,'Données projet'!$E$17+1,1))-AVERAGE(OFFSET($H$3,0,0,'Données projet'!$E$17+1,1))</f>
        <v>315.909549580511</v>
      </c>
      <c r="GF149" s="62">
        <f t="shared" si="158"/>
        <v>208.56856525402051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projet'!$B$17,Paramètres!$A$1:$I$89,3,0)*0.475*44/12</f>
        <v>0</v>
      </c>
      <c r="GM149" s="23">
        <f>EXP(-LN(2)/25)*GM148+(1-EXP(-LN(2)/25))/(LN(2)/25)*Calculateur!GH149*Calculateur!GJ149*VLOOKUP('Données projet'!$B$17,Paramètres!$A$1:$I$89,3,0)*0.475*44/12</f>
        <v>0</v>
      </c>
      <c r="GN149" s="23">
        <f>EXP(-LN(2)/2)*GN148+(1-EXP(-LN(2)/2))/(LN(2)/2)*GH149*GK149*VLOOKUP('Données projet'!$B$17,Paramètres!$A$1:$I$89,3,0)*0.475*44/12</f>
        <v>0</v>
      </c>
      <c r="GO149" s="23">
        <f t="shared" si="135"/>
        <v>0</v>
      </c>
      <c r="GP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67.673288572494855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1.1368683772161603E-13</v>
      </c>
      <c r="GV149" s="18">
        <f>GU149*VLOOKUP('Données projet'!$B$18,Paramètres!$A$1:$I$89,3,0)*VLOOKUP('Données projet'!$B$18,Paramètres!$A$1:$I$89,5,0)</f>
        <v>7.626113074366004E-14</v>
      </c>
      <c r="GW149" s="14">
        <f t="shared" si="159"/>
        <v>1.1823749172251317E-12</v>
      </c>
      <c r="GX149" s="22">
        <f t="shared" si="136"/>
        <v>2.1921244502123119E-12</v>
      </c>
      <c r="GY149" s="62">
        <f t="shared" si="137"/>
        <v>284.80205809915003</v>
      </c>
      <c r="GZ149" s="62">
        <f ca="1">AVERAGE(OFFSET($GY$3,0,0,'Données projet'!$E$18+1,1))-AVERAGE(OFFSET($H$3,0,0,'Données projet'!$E$18+1,1))</f>
        <v>254.35742752782755</v>
      </c>
      <c r="HA149" s="62">
        <f t="shared" si="160"/>
        <v>171.79611712137395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>
        <f>EXP(-LN(2)/35)*HG148+(1-EXP(-LN(2)/35))/(LN(2)/35)*HC149*HD149*VLOOKUP('Données projet'!$B$18,Paramètres!$A$1:$I$89,3,0)*0.475*44/12</f>
        <v>0</v>
      </c>
      <c r="HH149" s="23">
        <f>EXP(-LN(2)/25)*HH148+(1-EXP(-LN(2)/25))/(LN(2)/25)*Calculateur!HC149*Calculateur!HE149*VLOOKUP('Données projet'!$B$18,Paramètres!$A$1:$I$89,3,0)*0.475*44/12</f>
        <v>0</v>
      </c>
      <c r="HI149" s="23">
        <f>EXP(-LN(2)/2)*HI148+(1-EXP(-LN(2)/2))/(LN(2)/2)*HC149*HF149*VLOOKUP('Données projet'!$B$18,Paramètres!$A$1:$I$89,3,0)*0.475*44/12</f>
        <v>0</v>
      </c>
      <c r="HJ149" s="24">
        <f t="shared" si="138"/>
        <v>0</v>
      </c>
    </row>
    <row r="150" spans="1:218" s="5" customFormat="1" x14ac:dyDescent="0.3">
      <c r="A150" s="11">
        <f t="shared" si="139"/>
        <v>147</v>
      </c>
      <c r="B150" s="76">
        <f>'Scénario référence'!$B$16*5+'Scénario référence'!$B$17*0+'Scénario référence'!$B$18*5</f>
        <v>3.9405000000000001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14.448500000000001</v>
      </c>
      <c r="H150" s="69">
        <f t="shared" si="110"/>
        <v>161.30656666666667</v>
      </c>
      <c r="I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67.713651814014582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210.54472399593521</v>
      </c>
      <c r="T150" s="62">
        <f t="shared" si="142"/>
        <v>181.14158435194193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67.713651814014582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289.05608923588198</v>
      </c>
      <c r="AO150" s="62">
        <f t="shared" si="144"/>
        <v>220.06639020312738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67.713651814014582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1.1341666666666668</v>
      </c>
      <c r="BD150" s="13">
        <f>IF('Données projet'!$A$88&gt;35,BD149+BC150-BL149,IF(A150&lt;'Données projet'!$A$88,$BA$205^A150,IF(A150='Données projet'!$A$88,'Données projet'!$B$88,BD149+BC150-BL149)))</f>
        <v>126.81000000000002</v>
      </c>
      <c r="BE150" s="14">
        <f>BD150*VLOOKUP('Données projet'!$B$11,Paramètres!$A$1:$I$89,3,0)*VLOOKUP('Données projet'!$B$11,Paramètres!$A$1:$I$89,5,0)</f>
        <v>146.08512000000002</v>
      </c>
      <c r="BF150" s="14">
        <f t="shared" si="145"/>
        <v>37.687550397511806</v>
      </c>
      <c r="BG150" s="22">
        <f t="shared" si="115"/>
        <v>320.07073427566644</v>
      </c>
      <c r="BH150" s="62">
        <f t="shared" si="116"/>
        <v>605.02079092705321</v>
      </c>
      <c r="BI150" s="62">
        <f ca="1">AVERAGE(OFFSET($BH$3,0,0,'Données projet'!$E$11+1,1))-AVERAGE(OFFSET($H$3,0,0,'Données projet'!$E$11+1,1))</f>
        <v>299.54950406029354</v>
      </c>
      <c r="BJ150" s="62">
        <f t="shared" si="146"/>
        <v>208.26364698165739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67.713651814014582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>
        <f>BY150*VLOOKUP('Données projet'!$B$12,Paramètres!$A$1:$I$89,3,0)*VLOOKUP('Données projet'!$B$12,Paramètres!$A$1:$I$89,5,0)</f>
        <v>0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441.30518831297212</v>
      </c>
      <c r="CE150" s="62">
        <f t="shared" si="148"/>
        <v>270.42872405271851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67.713651814014582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-1.1368683772161603E-13</v>
      </c>
      <c r="CU150" s="18">
        <f>CT150*VLOOKUP('Données projet'!$B$13,Paramètres!$A$1:$I$89,3,0)*VLOOKUP('Données projet'!$B$13,Paramètres!$A$1:$I$89,5,0)</f>
        <v>-9.9316821433603781E-14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310.81258463659196</v>
      </c>
      <c r="CZ150" s="62">
        <f t="shared" si="150"/>
        <v>287.31099756692083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67.713651814014582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>
        <f>DO150*VLOOKUP('Données projet'!$B$14,Paramètres!$A$1:$I$89,3,0)*VLOOKUP('Données projet'!$B$14,Paramètres!$A$1:$I$89,5,0)</f>
        <v>0</v>
      </c>
      <c r="DQ150" s="14" t="e">
        <f t="shared" si="151"/>
        <v>#NUM!</v>
      </c>
      <c r="DR150" s="22" t="e">
        <f t="shared" si="124"/>
        <v>#NUM!</v>
      </c>
      <c r="DS150" s="62" t="e">
        <f t="shared" si="125"/>
        <v>#NUM!</v>
      </c>
      <c r="DT150" s="62">
        <f ca="1">AVERAGE(OFFSET($DS$3,0,0,'Données projet'!$E$14+1,1))-AVERAGE(OFFSET($H$3,0,0,'Données projet'!$E$14+1,1))</f>
        <v>431.19274104373625</v>
      </c>
      <c r="DU150" s="62">
        <f t="shared" si="152"/>
        <v>264.67919175178133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67.713651814014582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-6.2527760746888816E-13</v>
      </c>
      <c r="EK150" s="18">
        <f>EJ150*VLOOKUP('Données projet'!$B$15,Paramètres!$A$1:$I$89,3,0)*VLOOKUP('Données projet'!$B$15,Paramètres!$A$1:$I$89,5,0)</f>
        <v>-2.9262992029543964E-13</v>
      </c>
      <c r="EL150" s="14" t="e">
        <f t="shared" si="153"/>
        <v>#NUM!</v>
      </c>
      <c r="EM150" s="22" t="e">
        <f t="shared" si="127"/>
        <v>#NUM!</v>
      </c>
      <c r="EN150" s="62" t="e">
        <f t="shared" si="128"/>
        <v>#NUM!</v>
      </c>
      <c r="EO150" s="62">
        <f ca="1">AVERAGE(OFFSET($EN$3,0,0,'Données projet'!$E$15+1,1))-AVERAGE(OFFSET($H$3,0,0,'Données projet'!$E$15+1,1))</f>
        <v>291.68530745507815</v>
      </c>
      <c r="EP150" s="62">
        <f t="shared" si="154"/>
        <v>175.95121106728979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0</v>
      </c>
      <c r="EZ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67.713651814014582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-1.1368683772161603E-13</v>
      </c>
      <c r="FF150" s="18">
        <f>FE150*VLOOKUP('Données projet'!$B$16,Paramètres!$A$1:$I$89,3,0)*VLOOKUP('Données projet'!$B$16,Paramètres!$A$1:$I$89,5,0)</f>
        <v>-7.4487616075202823E-14</v>
      </c>
      <c r="FG150" s="14" t="e">
        <f t="shared" si="155"/>
        <v>#NUM!</v>
      </c>
      <c r="FH150" s="22" t="e">
        <f t="shared" si="130"/>
        <v>#NUM!</v>
      </c>
      <c r="FI150" s="62" t="e">
        <f t="shared" si="131"/>
        <v>#NUM!</v>
      </c>
      <c r="FJ150" s="62">
        <f ca="1">AVERAGE(OFFSET($FI$3,0,0,'Données projet'!$E$16+1,1))-AVERAGE(OFFSET($H$3,0,0,'Données projet'!$E$16+1,1))</f>
        <v>248.75689726928428</v>
      </c>
      <c r="FK150" s="62">
        <f t="shared" si="156"/>
        <v>232.02291680388336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projet'!$B$16,Paramètres!$A$1:$I$89,3,0)*0.475*44/12</f>
        <v>0</v>
      </c>
      <c r="FR150" s="23">
        <f>EXP(-LN(2)/25)*FR149+(1-EXP(-LN(2)/25))/(LN(2)/25)*Calculateur!FM150*Calculateur!FO150*VLOOKUP('Données projet'!$B$16,Paramètres!$A$1:$I$89,3,0)*0.475*44/12</f>
        <v>0</v>
      </c>
      <c r="FS150" s="23">
        <f>EXP(-LN(2)/2)*FS149+(1-EXP(-LN(2)/2))/(LN(2)/2)*FM150*FP150*VLOOKUP('Données projet'!$B$16,Paramètres!$A$1:$I$89,3,0)*0.475*44/12</f>
        <v>0</v>
      </c>
      <c r="FT150" s="24">
        <f t="shared" si="132"/>
        <v>0</v>
      </c>
      <c r="FU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67.713651814014582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5.1159076974727213E-13</v>
      </c>
      <c r="GA150" s="18">
        <f>FZ150*VLOOKUP('Données projet'!$B$17,Paramètres!$A$1:$I$89,3,0)*VLOOKUP('Données projet'!$B$17,Paramètres!$A$1:$I$89,5,0)</f>
        <v>3.0593128030886877E-13</v>
      </c>
      <c r="GB150" s="14">
        <f t="shared" si="157"/>
        <v>4.0350537939347394E-12</v>
      </c>
      <c r="GC150" s="22">
        <f t="shared" si="133"/>
        <v>7.5605490043076185E-12</v>
      </c>
      <c r="GD150" s="62">
        <f t="shared" si="134"/>
        <v>284.95005665139433</v>
      </c>
      <c r="GE150" s="62">
        <f ca="1">AVERAGE(OFFSET($GD$3,0,0,'Données projet'!$E$17+1,1))-AVERAGE(OFFSET($H$3,0,0,'Données projet'!$E$17+1,1))</f>
        <v>315.909549580511</v>
      </c>
      <c r="GF150" s="62">
        <f t="shared" si="158"/>
        <v>208.56856525402051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projet'!$B$17,Paramètres!$A$1:$I$89,3,0)*0.475*44/12</f>
        <v>0</v>
      </c>
      <c r="GM150" s="23">
        <f>EXP(-LN(2)/25)*GM149+(1-EXP(-LN(2)/25))/(LN(2)/25)*Calculateur!GH150*Calculateur!GJ150*VLOOKUP('Données projet'!$B$17,Paramètres!$A$1:$I$89,3,0)*0.475*44/12</f>
        <v>0</v>
      </c>
      <c r="GN150" s="23">
        <f>EXP(-LN(2)/2)*GN149+(1-EXP(-LN(2)/2))/(LN(2)/2)*GH150*GK150*VLOOKUP('Données projet'!$B$17,Paramètres!$A$1:$I$89,3,0)*0.475*44/12</f>
        <v>0</v>
      </c>
      <c r="GO150" s="23">
        <f t="shared" si="135"/>
        <v>0</v>
      </c>
      <c r="GP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67.713651814014582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1.1368683772161603E-13</v>
      </c>
      <c r="GV150" s="18">
        <f>GU150*VLOOKUP('Données projet'!$B$18,Paramètres!$A$1:$I$89,3,0)*VLOOKUP('Données projet'!$B$18,Paramètres!$A$1:$I$89,5,0)</f>
        <v>7.626113074366004E-14</v>
      </c>
      <c r="GW150" s="14">
        <f t="shared" si="159"/>
        <v>1.1823749172251317E-12</v>
      </c>
      <c r="GX150" s="22">
        <f t="shared" si="136"/>
        <v>2.1921244502123119E-12</v>
      </c>
      <c r="GY150" s="62">
        <f t="shared" si="137"/>
        <v>284.95005665138899</v>
      </c>
      <c r="GZ150" s="62">
        <f ca="1">AVERAGE(OFFSET($GY$3,0,0,'Données projet'!$E$18+1,1))-AVERAGE(OFFSET($H$3,0,0,'Données projet'!$E$18+1,1))</f>
        <v>254.35742752782755</v>
      </c>
      <c r="HA150" s="62">
        <f t="shared" si="160"/>
        <v>171.79611712137395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>
        <f>EXP(-LN(2)/35)*HG149+(1-EXP(-LN(2)/35))/(LN(2)/35)*HC150*HD150*VLOOKUP('Données projet'!$B$18,Paramètres!$A$1:$I$89,3,0)*0.475*44/12</f>
        <v>0</v>
      </c>
      <c r="HH150" s="23">
        <f>EXP(-LN(2)/25)*HH149+(1-EXP(-LN(2)/25))/(LN(2)/25)*Calculateur!HC150*Calculateur!HE150*VLOOKUP('Données projet'!$B$18,Paramètres!$A$1:$I$89,3,0)*0.475*44/12</f>
        <v>0</v>
      </c>
      <c r="HI150" s="23">
        <f>EXP(-LN(2)/2)*HI149+(1-EXP(-LN(2)/2))/(LN(2)/2)*HC150*HF150*VLOOKUP('Données projet'!$B$18,Paramètres!$A$1:$I$89,3,0)*0.475*44/12</f>
        <v>0</v>
      </c>
      <c r="HJ150" s="24">
        <f t="shared" si="138"/>
        <v>0</v>
      </c>
    </row>
    <row r="151" spans="1:218" s="5" customFormat="1" x14ac:dyDescent="0.3">
      <c r="A151" s="11">
        <f t="shared" si="139"/>
        <v>148</v>
      </c>
      <c r="B151" s="76">
        <f>'Scénario référence'!$B$16*5+'Scénario référence'!$B$17*0+'Scénario référence'!$B$18*5</f>
        <v>3.9405000000000001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14.448500000000001</v>
      </c>
      <c r="H151" s="69">
        <f t="shared" si="110"/>
        <v>161.30656666666667</v>
      </c>
      <c r="I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67.75331484353265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210.54472399593521</v>
      </c>
      <c r="T151" s="62">
        <f t="shared" si="142"/>
        <v>181.14158435194193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67.75331484353265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289.05608923588198</v>
      </c>
      <c r="AO151" s="62">
        <f t="shared" si="144"/>
        <v>220.06639020312738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67.75331484353265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1.1341666666666668</v>
      </c>
      <c r="BD151" s="13">
        <f>IF('Données projet'!$A$88&gt;35,BD150+BC151-BL150,IF(A151&lt;'Données projet'!$A$88,$BA$205^A151,IF(A151='Données projet'!$A$88,'Données projet'!$B$88,BD150+BC151-BL150)))</f>
        <v>127.94416666666669</v>
      </c>
      <c r="BE151" s="14">
        <f>BD151*VLOOKUP('Données projet'!$B$11,Paramètres!$A$1:$I$89,3,0)*VLOOKUP('Données projet'!$B$11,Paramètres!$A$1:$I$89,5,0)</f>
        <v>147.39168000000001</v>
      </c>
      <c r="BF151" s="14">
        <f t="shared" si="145"/>
        <v>37.985231743580776</v>
      </c>
      <c r="BG151" s="22">
        <f t="shared" si="115"/>
        <v>322.86478795340321</v>
      </c>
      <c r="BH151" s="62">
        <f t="shared" si="116"/>
        <v>607.96027571302295</v>
      </c>
      <c r="BI151" s="62">
        <f ca="1">AVERAGE(OFFSET($BH$3,0,0,'Données projet'!$E$11+1,1))-AVERAGE(OFFSET($H$3,0,0,'Données projet'!$E$11+1,1))</f>
        <v>299.54950406029354</v>
      </c>
      <c r="BJ151" s="62">
        <f t="shared" si="146"/>
        <v>208.26364698165739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67.75331484353265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>
        <f>BY151*VLOOKUP('Données projet'!$B$12,Paramètres!$A$1:$I$89,3,0)*VLOOKUP('Données projet'!$B$12,Paramètres!$A$1:$I$89,5,0)</f>
        <v>0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441.30518831297212</v>
      </c>
      <c r="CE151" s="62">
        <f t="shared" si="148"/>
        <v>270.42872405271851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67.75331484353265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-1.1368683772161603E-13</v>
      </c>
      <c r="CU151" s="18">
        <f>CT151*VLOOKUP('Données projet'!$B$13,Paramètres!$A$1:$I$89,3,0)*VLOOKUP('Données projet'!$B$13,Paramètres!$A$1:$I$89,5,0)</f>
        <v>-9.9316821433603781E-14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310.81258463659196</v>
      </c>
      <c r="CZ151" s="62">
        <f t="shared" si="150"/>
        <v>287.31099756692083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67.75331484353265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>
        <f>DO151*VLOOKUP('Données projet'!$B$14,Paramètres!$A$1:$I$89,3,0)*VLOOKUP('Données projet'!$B$14,Paramètres!$A$1:$I$89,5,0)</f>
        <v>0</v>
      </c>
      <c r="DQ151" s="14" t="e">
        <f t="shared" si="151"/>
        <v>#NUM!</v>
      </c>
      <c r="DR151" s="22" t="e">
        <f t="shared" si="124"/>
        <v>#NUM!</v>
      </c>
      <c r="DS151" s="62" t="e">
        <f t="shared" si="125"/>
        <v>#NUM!</v>
      </c>
      <c r="DT151" s="62">
        <f ca="1">AVERAGE(OFFSET($DS$3,0,0,'Données projet'!$E$14+1,1))-AVERAGE(OFFSET($H$3,0,0,'Données projet'!$E$14+1,1))</f>
        <v>431.19274104373625</v>
      </c>
      <c r="DU151" s="62">
        <f t="shared" si="152"/>
        <v>264.67919175178133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67.75331484353265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-6.2527760746888816E-13</v>
      </c>
      <c r="EK151" s="18">
        <f>EJ151*VLOOKUP('Données projet'!$B$15,Paramètres!$A$1:$I$89,3,0)*VLOOKUP('Données projet'!$B$15,Paramètres!$A$1:$I$89,5,0)</f>
        <v>-2.9262992029543964E-13</v>
      </c>
      <c r="EL151" s="14" t="e">
        <f t="shared" si="153"/>
        <v>#NUM!</v>
      </c>
      <c r="EM151" s="22" t="e">
        <f t="shared" si="127"/>
        <v>#NUM!</v>
      </c>
      <c r="EN151" s="62" t="e">
        <f t="shared" si="128"/>
        <v>#NUM!</v>
      </c>
      <c r="EO151" s="62">
        <f ca="1">AVERAGE(OFFSET($EN$3,0,0,'Données projet'!$E$15+1,1))-AVERAGE(OFFSET($H$3,0,0,'Données projet'!$E$15+1,1))</f>
        <v>291.68530745507815</v>
      </c>
      <c r="EP151" s="62">
        <f t="shared" si="154"/>
        <v>175.95121106728979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0</v>
      </c>
      <c r="EZ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67.75331484353265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-1.1368683772161603E-13</v>
      </c>
      <c r="FF151" s="18">
        <f>FE151*VLOOKUP('Données projet'!$B$16,Paramètres!$A$1:$I$89,3,0)*VLOOKUP('Données projet'!$B$16,Paramètres!$A$1:$I$89,5,0)</f>
        <v>-7.4487616075202823E-14</v>
      </c>
      <c r="FG151" s="14" t="e">
        <f t="shared" si="155"/>
        <v>#NUM!</v>
      </c>
      <c r="FH151" s="22" t="e">
        <f t="shared" si="130"/>
        <v>#NUM!</v>
      </c>
      <c r="FI151" s="62" t="e">
        <f t="shared" si="131"/>
        <v>#NUM!</v>
      </c>
      <c r="FJ151" s="62">
        <f ca="1">AVERAGE(OFFSET($FI$3,0,0,'Données projet'!$E$16+1,1))-AVERAGE(OFFSET($H$3,0,0,'Données projet'!$E$16+1,1))</f>
        <v>248.75689726928428</v>
      </c>
      <c r="FK151" s="62">
        <f t="shared" si="156"/>
        <v>232.02291680388336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projet'!$B$16,Paramètres!$A$1:$I$89,3,0)*0.475*44/12</f>
        <v>0</v>
      </c>
      <c r="FR151" s="23">
        <f>EXP(-LN(2)/25)*FR150+(1-EXP(-LN(2)/25))/(LN(2)/25)*Calculateur!FM151*Calculateur!FO151*VLOOKUP('Données projet'!$B$16,Paramètres!$A$1:$I$89,3,0)*0.475*44/12</f>
        <v>0</v>
      </c>
      <c r="FS151" s="23">
        <f>EXP(-LN(2)/2)*FS150+(1-EXP(-LN(2)/2))/(LN(2)/2)*FM151*FP151*VLOOKUP('Données projet'!$B$16,Paramètres!$A$1:$I$89,3,0)*0.475*44/12</f>
        <v>0</v>
      </c>
      <c r="FT151" s="24">
        <f t="shared" si="132"/>
        <v>0</v>
      </c>
      <c r="FU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67.75331484353265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5.1159076974727213E-13</v>
      </c>
      <c r="GA151" s="18">
        <f>FZ151*VLOOKUP('Données projet'!$B$17,Paramètres!$A$1:$I$89,3,0)*VLOOKUP('Données projet'!$B$17,Paramètres!$A$1:$I$89,5,0)</f>
        <v>3.0593128030886877E-13</v>
      </c>
      <c r="GB151" s="14">
        <f t="shared" si="157"/>
        <v>4.0350537939347394E-12</v>
      </c>
      <c r="GC151" s="22">
        <f t="shared" si="133"/>
        <v>7.5605490043076185E-12</v>
      </c>
      <c r="GD151" s="62">
        <f t="shared" si="134"/>
        <v>285.0954877596273</v>
      </c>
      <c r="GE151" s="62">
        <f ca="1">AVERAGE(OFFSET($GD$3,0,0,'Données projet'!$E$17+1,1))-AVERAGE(OFFSET($H$3,0,0,'Données projet'!$E$17+1,1))</f>
        <v>315.909549580511</v>
      </c>
      <c r="GF151" s="62">
        <f t="shared" si="158"/>
        <v>208.56856525402051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projet'!$B$17,Paramètres!$A$1:$I$89,3,0)*0.475*44/12</f>
        <v>0</v>
      </c>
      <c r="GM151" s="23">
        <f>EXP(-LN(2)/25)*GM150+(1-EXP(-LN(2)/25))/(LN(2)/25)*Calculateur!GH151*Calculateur!GJ151*VLOOKUP('Données projet'!$B$17,Paramètres!$A$1:$I$89,3,0)*0.475*44/12</f>
        <v>0</v>
      </c>
      <c r="GN151" s="23">
        <f>EXP(-LN(2)/2)*GN150+(1-EXP(-LN(2)/2))/(LN(2)/2)*GH151*GK151*VLOOKUP('Données projet'!$B$17,Paramètres!$A$1:$I$89,3,0)*0.475*44/12</f>
        <v>0</v>
      </c>
      <c r="GO151" s="23">
        <f t="shared" si="135"/>
        <v>0</v>
      </c>
      <c r="GP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67.75331484353265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1.1368683772161603E-13</v>
      </c>
      <c r="GV151" s="18">
        <f>GU151*VLOOKUP('Données projet'!$B$18,Paramètres!$A$1:$I$89,3,0)*VLOOKUP('Données projet'!$B$18,Paramètres!$A$1:$I$89,5,0)</f>
        <v>7.626113074366004E-14</v>
      </c>
      <c r="GW151" s="14">
        <f t="shared" si="159"/>
        <v>1.1823749172251317E-12</v>
      </c>
      <c r="GX151" s="22">
        <f t="shared" si="136"/>
        <v>2.1921244502123119E-12</v>
      </c>
      <c r="GY151" s="62">
        <f t="shared" si="137"/>
        <v>285.09548775962196</v>
      </c>
      <c r="GZ151" s="62">
        <f ca="1">AVERAGE(OFFSET($GY$3,0,0,'Données projet'!$E$18+1,1))-AVERAGE(OFFSET($H$3,0,0,'Données projet'!$E$18+1,1))</f>
        <v>254.35742752782755</v>
      </c>
      <c r="HA151" s="62">
        <f t="shared" si="160"/>
        <v>171.79611712137395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>
        <f>EXP(-LN(2)/35)*HG150+(1-EXP(-LN(2)/35))/(LN(2)/35)*HC151*HD151*VLOOKUP('Données projet'!$B$18,Paramètres!$A$1:$I$89,3,0)*0.475*44/12</f>
        <v>0</v>
      </c>
      <c r="HH151" s="23">
        <f>EXP(-LN(2)/25)*HH150+(1-EXP(-LN(2)/25))/(LN(2)/25)*Calculateur!HC151*Calculateur!HE151*VLOOKUP('Données projet'!$B$18,Paramètres!$A$1:$I$89,3,0)*0.475*44/12</f>
        <v>0</v>
      </c>
      <c r="HI151" s="23">
        <f>EXP(-LN(2)/2)*HI150+(1-EXP(-LN(2)/2))/(LN(2)/2)*HC151*HF151*VLOOKUP('Données projet'!$B$18,Paramètres!$A$1:$I$89,3,0)*0.475*44/12</f>
        <v>0</v>
      </c>
      <c r="HJ151" s="24">
        <f t="shared" si="138"/>
        <v>0</v>
      </c>
    </row>
    <row r="152" spans="1:218" s="5" customFormat="1" x14ac:dyDescent="0.3">
      <c r="A152" s="11">
        <f t="shared" si="139"/>
        <v>149</v>
      </c>
      <c r="B152" s="76">
        <f>'Scénario référence'!$B$16*5+'Scénario référence'!$B$17*0+'Scénario référence'!$B$18*5</f>
        <v>3.9405000000000001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14.448500000000001</v>
      </c>
      <c r="H152" s="69">
        <f t="shared" si="110"/>
        <v>161.30656666666667</v>
      </c>
      <c r="I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67.792289808161826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210.54472399593521</v>
      </c>
      <c r="T152" s="62">
        <f t="shared" si="142"/>
        <v>181.14158435194193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67.792289808161826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289.05608923588198</v>
      </c>
      <c r="AO152" s="62">
        <f t="shared" si="144"/>
        <v>220.06639020312738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67.792289808161826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1.1341666666666668</v>
      </c>
      <c r="BD152" s="13">
        <f>IF('Données projet'!$A$88&gt;35,BD151+BC152-BL151,IF(A152&lt;'Données projet'!$A$88,$BA$205^A152,IF(A152='Données projet'!$A$88,'Données projet'!$B$88,BD151+BC152-BL151)))</f>
        <v>129.07833333333335</v>
      </c>
      <c r="BE152" s="14">
        <f>BD152*VLOOKUP('Données projet'!$B$11,Paramètres!$A$1:$I$89,3,0)*VLOOKUP('Données projet'!$B$11,Paramètres!$A$1:$I$89,5,0)</f>
        <v>148.69824</v>
      </c>
      <c r="BF152" s="14">
        <f t="shared" si="145"/>
        <v>38.282606086404904</v>
      </c>
      <c r="BG152" s="22">
        <f t="shared" si="115"/>
        <v>325.65830693382185</v>
      </c>
      <c r="BH152" s="62">
        <f t="shared" si="116"/>
        <v>610.89670289708192</v>
      </c>
      <c r="BI152" s="62">
        <f ca="1">AVERAGE(OFFSET($BH$3,0,0,'Données projet'!$E$11+1,1))-AVERAGE(OFFSET($H$3,0,0,'Données projet'!$E$11+1,1))</f>
        <v>299.54950406029354</v>
      </c>
      <c r="BJ152" s="62">
        <f t="shared" si="146"/>
        <v>208.26364698165739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67.792289808161826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>
        <f>BY152*VLOOKUP('Données projet'!$B$12,Paramètres!$A$1:$I$89,3,0)*VLOOKUP('Données projet'!$B$12,Paramètres!$A$1:$I$89,5,0)</f>
        <v>0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441.30518831297212</v>
      </c>
      <c r="CE152" s="62">
        <f t="shared" si="148"/>
        <v>270.42872405271851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67.792289808161826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-1.1368683772161603E-13</v>
      </c>
      <c r="CU152" s="18">
        <f>CT152*VLOOKUP('Données projet'!$B$13,Paramètres!$A$1:$I$89,3,0)*VLOOKUP('Données projet'!$B$13,Paramètres!$A$1:$I$89,5,0)</f>
        <v>-9.9316821433603781E-14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310.81258463659196</v>
      </c>
      <c r="CZ152" s="62">
        <f t="shared" si="150"/>
        <v>287.31099756692083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67.792289808161826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>
        <f>DO152*VLOOKUP('Données projet'!$B$14,Paramètres!$A$1:$I$89,3,0)*VLOOKUP('Données projet'!$B$14,Paramètres!$A$1:$I$89,5,0)</f>
        <v>0</v>
      </c>
      <c r="DQ152" s="14" t="e">
        <f t="shared" si="151"/>
        <v>#NUM!</v>
      </c>
      <c r="DR152" s="22" t="e">
        <f t="shared" si="124"/>
        <v>#NUM!</v>
      </c>
      <c r="DS152" s="62" t="e">
        <f t="shared" si="125"/>
        <v>#NUM!</v>
      </c>
      <c r="DT152" s="62">
        <f ca="1">AVERAGE(OFFSET($DS$3,0,0,'Données projet'!$E$14+1,1))-AVERAGE(OFFSET($H$3,0,0,'Données projet'!$E$14+1,1))</f>
        <v>431.19274104373625</v>
      </c>
      <c r="DU152" s="62">
        <f t="shared" si="152"/>
        <v>264.67919175178133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67.792289808161826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-6.2527760746888816E-13</v>
      </c>
      <c r="EK152" s="18">
        <f>EJ152*VLOOKUP('Données projet'!$B$15,Paramètres!$A$1:$I$89,3,0)*VLOOKUP('Données projet'!$B$15,Paramètres!$A$1:$I$89,5,0)</f>
        <v>-2.9262992029543964E-13</v>
      </c>
      <c r="EL152" s="14" t="e">
        <f t="shared" si="153"/>
        <v>#NUM!</v>
      </c>
      <c r="EM152" s="22" t="e">
        <f t="shared" si="127"/>
        <v>#NUM!</v>
      </c>
      <c r="EN152" s="62" t="e">
        <f t="shared" si="128"/>
        <v>#NUM!</v>
      </c>
      <c r="EO152" s="62">
        <f ca="1">AVERAGE(OFFSET($EN$3,0,0,'Données projet'!$E$15+1,1))-AVERAGE(OFFSET($H$3,0,0,'Données projet'!$E$15+1,1))</f>
        <v>291.68530745507815</v>
      </c>
      <c r="EP152" s="62">
        <f t="shared" si="154"/>
        <v>175.95121106728979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0</v>
      </c>
      <c r="EZ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67.792289808161826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-1.1368683772161603E-13</v>
      </c>
      <c r="FF152" s="18">
        <f>FE152*VLOOKUP('Données projet'!$B$16,Paramètres!$A$1:$I$89,3,0)*VLOOKUP('Données projet'!$B$16,Paramètres!$A$1:$I$89,5,0)</f>
        <v>-7.4487616075202823E-14</v>
      </c>
      <c r="FG152" s="14" t="e">
        <f t="shared" si="155"/>
        <v>#NUM!</v>
      </c>
      <c r="FH152" s="22" t="e">
        <f t="shared" si="130"/>
        <v>#NUM!</v>
      </c>
      <c r="FI152" s="62" t="e">
        <f t="shared" si="131"/>
        <v>#NUM!</v>
      </c>
      <c r="FJ152" s="62">
        <f ca="1">AVERAGE(OFFSET($FI$3,0,0,'Données projet'!$E$16+1,1))-AVERAGE(OFFSET($H$3,0,0,'Données projet'!$E$16+1,1))</f>
        <v>248.75689726928428</v>
      </c>
      <c r="FK152" s="62">
        <f t="shared" si="156"/>
        <v>232.02291680388336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projet'!$B$16,Paramètres!$A$1:$I$89,3,0)*0.475*44/12</f>
        <v>0</v>
      </c>
      <c r="FR152" s="23">
        <f>EXP(-LN(2)/25)*FR151+(1-EXP(-LN(2)/25))/(LN(2)/25)*Calculateur!FM152*Calculateur!FO152*VLOOKUP('Données projet'!$B$16,Paramètres!$A$1:$I$89,3,0)*0.475*44/12</f>
        <v>0</v>
      </c>
      <c r="FS152" s="23">
        <f>EXP(-LN(2)/2)*FS151+(1-EXP(-LN(2)/2))/(LN(2)/2)*FM152*FP152*VLOOKUP('Données projet'!$B$16,Paramètres!$A$1:$I$89,3,0)*0.475*44/12</f>
        <v>0</v>
      </c>
      <c r="FT152" s="24">
        <f t="shared" si="132"/>
        <v>0</v>
      </c>
      <c r="FU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67.792289808161826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5.1159076974727213E-13</v>
      </c>
      <c r="GA152" s="18">
        <f>FZ152*VLOOKUP('Données projet'!$B$17,Paramètres!$A$1:$I$89,3,0)*VLOOKUP('Données projet'!$B$17,Paramètres!$A$1:$I$89,5,0)</f>
        <v>3.0593128030886877E-13</v>
      </c>
      <c r="GB152" s="14">
        <f t="shared" si="157"/>
        <v>4.0350537939347394E-12</v>
      </c>
      <c r="GC152" s="22">
        <f t="shared" si="133"/>
        <v>7.5605490043076185E-12</v>
      </c>
      <c r="GD152" s="62">
        <f t="shared" si="134"/>
        <v>285.23839596326758</v>
      </c>
      <c r="GE152" s="62">
        <f ca="1">AVERAGE(OFFSET($GD$3,0,0,'Données projet'!$E$17+1,1))-AVERAGE(OFFSET($H$3,0,0,'Données projet'!$E$17+1,1))</f>
        <v>315.909549580511</v>
      </c>
      <c r="GF152" s="62">
        <f t="shared" si="158"/>
        <v>208.56856525402051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projet'!$B$17,Paramètres!$A$1:$I$89,3,0)*0.475*44/12</f>
        <v>0</v>
      </c>
      <c r="GM152" s="23">
        <f>EXP(-LN(2)/25)*GM151+(1-EXP(-LN(2)/25))/(LN(2)/25)*Calculateur!GH152*Calculateur!GJ152*VLOOKUP('Données projet'!$B$17,Paramètres!$A$1:$I$89,3,0)*0.475*44/12</f>
        <v>0</v>
      </c>
      <c r="GN152" s="23">
        <f>EXP(-LN(2)/2)*GN151+(1-EXP(-LN(2)/2))/(LN(2)/2)*GH152*GK152*VLOOKUP('Données projet'!$B$17,Paramètres!$A$1:$I$89,3,0)*0.475*44/12</f>
        <v>0</v>
      </c>
      <c r="GO152" s="23">
        <f t="shared" si="135"/>
        <v>0</v>
      </c>
      <c r="GP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67.792289808161826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1.1368683772161603E-13</v>
      </c>
      <c r="GV152" s="18">
        <f>GU152*VLOOKUP('Données projet'!$B$18,Paramètres!$A$1:$I$89,3,0)*VLOOKUP('Données projet'!$B$18,Paramètres!$A$1:$I$89,5,0)</f>
        <v>7.626113074366004E-14</v>
      </c>
      <c r="GW152" s="14">
        <f t="shared" si="159"/>
        <v>1.1823749172251317E-12</v>
      </c>
      <c r="GX152" s="22">
        <f t="shared" si="136"/>
        <v>2.1921244502123119E-12</v>
      </c>
      <c r="GY152" s="62">
        <f t="shared" si="137"/>
        <v>285.23839596326224</v>
      </c>
      <c r="GZ152" s="62">
        <f ca="1">AVERAGE(OFFSET($GY$3,0,0,'Données projet'!$E$18+1,1))-AVERAGE(OFFSET($H$3,0,0,'Données projet'!$E$18+1,1))</f>
        <v>254.35742752782755</v>
      </c>
      <c r="HA152" s="62">
        <f t="shared" si="160"/>
        <v>171.79611712137395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>
        <f>EXP(-LN(2)/35)*HG151+(1-EXP(-LN(2)/35))/(LN(2)/35)*HC152*HD152*VLOOKUP('Données projet'!$B$18,Paramètres!$A$1:$I$89,3,0)*0.475*44/12</f>
        <v>0</v>
      </c>
      <c r="HH152" s="23">
        <f>EXP(-LN(2)/25)*HH151+(1-EXP(-LN(2)/25))/(LN(2)/25)*Calculateur!HC152*Calculateur!HE152*VLOOKUP('Données projet'!$B$18,Paramètres!$A$1:$I$89,3,0)*0.475*44/12</f>
        <v>0</v>
      </c>
      <c r="HI152" s="23">
        <f>EXP(-LN(2)/2)*HI151+(1-EXP(-LN(2)/2))/(LN(2)/2)*HC152*HF152*VLOOKUP('Données projet'!$B$18,Paramètres!$A$1:$I$89,3,0)*0.475*44/12</f>
        <v>0</v>
      </c>
      <c r="HJ152" s="24">
        <f t="shared" si="138"/>
        <v>0</v>
      </c>
    </row>
    <row r="153" spans="1:218" s="5" customFormat="1" x14ac:dyDescent="0.3">
      <c r="A153" s="11">
        <f>A152+1</f>
        <v>150</v>
      </c>
      <c r="B153" s="76">
        <f>'Scénario référence'!$B$16*5+'Scénario référence'!$B$17*0+'Scénario référence'!$B$18*5</f>
        <v>3.9405000000000001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14.448500000000001</v>
      </c>
      <c r="H153" s="69">
        <f t="shared" si="110"/>
        <v>161.30656666666667</v>
      </c>
      <c r="I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67.830588644289648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210.54472399593521</v>
      </c>
      <c r="T153" s="62">
        <f t="shared" si="142"/>
        <v>181.14158435194193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67.830588644289648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289.05608923588198</v>
      </c>
      <c r="AO153" s="62">
        <f t="shared" si="144"/>
        <v>220.06639020312738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67.830588644289648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>
        <f>VLOOKUP(A153,'Données projet'!$A$87:$I$107,2,0)</f>
        <v>130.21250000000001</v>
      </c>
      <c r="BB153" s="13">
        <f>VLOOKUP(A153,'Données projet'!$A$87:$I$107,9,0)</f>
        <v>1.1341666666666668</v>
      </c>
      <c r="BC153" s="13">
        <f t="array" ref="BC153">INDEX(BB:BB,MIN(IF(ISNUMBER(BB153:BB349),ROW(BB153:BB349),"")))</f>
        <v>1.1341666666666668</v>
      </c>
      <c r="BD153" s="13">
        <f>IF('Données projet'!$A$88&gt;35,BD152+BC153-BL152,IF(A153&lt;'Données projet'!$A$88,$BA$205^A153,IF(A153='Données projet'!$A$88,'Données projet'!$B$88,BD152+BC153-BL152)))</f>
        <v>130.21250000000001</v>
      </c>
      <c r="BE153" s="14">
        <f>BD153*VLOOKUP('Données projet'!$B$11,Paramètres!$A$1:$I$89,3,0)*VLOOKUP('Données projet'!$B$11,Paramètres!$A$1:$I$89,5,0)</f>
        <v>150.00479999999999</v>
      </c>
      <c r="BF153" s="14">
        <f t="shared" si="145"/>
        <v>38.579676436046306</v>
      </c>
      <c r="BG153" s="22">
        <f t="shared" si="115"/>
        <v>328.45129645944729</v>
      </c>
      <c r="BH153" s="62">
        <f t="shared" si="116"/>
        <v>613.83012148850935</v>
      </c>
      <c r="BI153" s="62">
        <f ca="1">AVERAGE(OFFSET($BH$3,0,0,'Données projet'!$E$11+1,1))-AVERAGE(OFFSET($H$3,0,0,'Données projet'!$E$11+1,1))</f>
        <v>299.54950406029354</v>
      </c>
      <c r="BJ153" s="62">
        <f t="shared" si="146"/>
        <v>208.26364698165739</v>
      </c>
      <c r="BK153" s="16">
        <f>IF(ISNA(VLOOKUP(A153,'Données projet'!$A$87:$I$107,3,0)),0,VLOOKUP(A153,'Données projet'!$A$87:$I$107,3,0))</f>
        <v>13</v>
      </c>
      <c r="BL153" s="16">
        <f>IF(ISNA(VLOOKUP(A153,'Données projet'!$A$87:$I$107,4,0)),0,VLOOKUP(A153,'Données projet'!$A$87:$I$107,4,0))</f>
        <v>130.21250000000001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67.830588644289648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>
        <f>BY153*VLOOKUP('Données projet'!$B$12,Paramètres!$A$1:$I$89,3,0)*VLOOKUP('Données projet'!$B$12,Paramètres!$A$1:$I$89,5,0)</f>
        <v>0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441.30518831297212</v>
      </c>
      <c r="CE153" s="62">
        <f t="shared" si="148"/>
        <v>270.42872405271851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67.830588644289648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-1.1368683772161603E-13</v>
      </c>
      <c r="CU153" s="18">
        <f>CT153*VLOOKUP('Données projet'!$B$13,Paramètres!$A$1:$I$89,3,0)*VLOOKUP('Données projet'!$B$13,Paramètres!$A$1:$I$89,5,0)</f>
        <v>-9.9316821433603781E-14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310.81258463659196</v>
      </c>
      <c r="CZ153" s="62">
        <f t="shared" si="150"/>
        <v>287.31099756692083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67.830588644289648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>
        <f>DO153*VLOOKUP('Données projet'!$B$14,Paramètres!$A$1:$I$89,3,0)*VLOOKUP('Données projet'!$B$14,Paramètres!$A$1:$I$89,5,0)</f>
        <v>0</v>
      </c>
      <c r="DQ153" s="14" t="e">
        <f t="shared" si="151"/>
        <v>#NUM!</v>
      </c>
      <c r="DR153" s="22" t="e">
        <f t="shared" si="124"/>
        <v>#NUM!</v>
      </c>
      <c r="DS153" s="62" t="e">
        <f t="shared" si="125"/>
        <v>#NUM!</v>
      </c>
      <c r="DT153" s="62">
        <f ca="1">AVERAGE(OFFSET($DS$3,0,0,'Données projet'!$E$14+1,1))-AVERAGE(OFFSET($H$3,0,0,'Données projet'!$E$14+1,1))</f>
        <v>431.19274104373625</v>
      </c>
      <c r="DU153" s="62">
        <f t="shared" si="152"/>
        <v>264.67919175178133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67.830588644289648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-6.2527760746888816E-13</v>
      </c>
      <c r="EK153" s="18">
        <f>EJ153*VLOOKUP('Données projet'!$B$15,Paramètres!$A$1:$I$89,3,0)*VLOOKUP('Données projet'!$B$15,Paramètres!$A$1:$I$89,5,0)</f>
        <v>-2.9262992029543964E-13</v>
      </c>
      <c r="EL153" s="14" t="e">
        <f t="shared" si="153"/>
        <v>#NUM!</v>
      </c>
      <c r="EM153" s="22" t="e">
        <f t="shared" si="127"/>
        <v>#NUM!</v>
      </c>
      <c r="EN153" s="62" t="e">
        <f t="shared" si="128"/>
        <v>#NUM!</v>
      </c>
      <c r="EO153" s="62">
        <f ca="1">AVERAGE(OFFSET($EN$3,0,0,'Données projet'!$E$15+1,1))-AVERAGE(OFFSET($H$3,0,0,'Données projet'!$E$15+1,1))</f>
        <v>291.68530745507815</v>
      </c>
      <c r="EP153" s="62">
        <f t="shared" si="154"/>
        <v>175.95121106728979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0</v>
      </c>
      <c r="EZ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67.830588644289648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-1.1368683772161603E-13</v>
      </c>
      <c r="FF153" s="18">
        <f>FE153*VLOOKUP('Données projet'!$B$16,Paramètres!$A$1:$I$89,3,0)*VLOOKUP('Données projet'!$B$16,Paramètres!$A$1:$I$89,5,0)</f>
        <v>-7.4487616075202823E-14</v>
      </c>
      <c r="FG153" s="14" t="e">
        <f t="shared" si="155"/>
        <v>#NUM!</v>
      </c>
      <c r="FH153" s="22" t="e">
        <f t="shared" si="130"/>
        <v>#NUM!</v>
      </c>
      <c r="FI153" s="62" t="e">
        <f t="shared" si="131"/>
        <v>#NUM!</v>
      </c>
      <c r="FJ153" s="62">
        <f ca="1">AVERAGE(OFFSET($FI$3,0,0,'Données projet'!$E$16+1,1))-AVERAGE(OFFSET($H$3,0,0,'Données projet'!$E$16+1,1))</f>
        <v>248.75689726928428</v>
      </c>
      <c r="FK153" s="62">
        <f t="shared" si="156"/>
        <v>232.02291680388336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projet'!$B$16,Paramètres!$A$1:$I$89,3,0)*0.475*44/12</f>
        <v>0</v>
      </c>
      <c r="FR153" s="23">
        <f>EXP(-LN(2)/25)*FR152+(1-EXP(-LN(2)/25))/(LN(2)/25)*Calculateur!FM153*Calculateur!FO153*VLOOKUP('Données projet'!$B$16,Paramètres!$A$1:$I$89,3,0)*0.475*44/12</f>
        <v>0</v>
      </c>
      <c r="FS153" s="23">
        <f>EXP(-LN(2)/2)*FS152+(1-EXP(-LN(2)/2))/(LN(2)/2)*FM153*FP153*VLOOKUP('Données projet'!$B$16,Paramètres!$A$1:$I$89,3,0)*0.475*44/12</f>
        <v>0</v>
      </c>
      <c r="FT153" s="24">
        <f t="shared" si="132"/>
        <v>0</v>
      </c>
      <c r="FU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67.830588644289648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5.1159076974727213E-13</v>
      </c>
      <c r="GA153" s="18">
        <f>FZ153*VLOOKUP('Données projet'!$B$17,Paramètres!$A$1:$I$89,3,0)*VLOOKUP('Données projet'!$B$17,Paramètres!$A$1:$I$89,5,0)</f>
        <v>3.0593128030886877E-13</v>
      </c>
      <c r="GB153" s="14">
        <f t="shared" si="157"/>
        <v>4.0350537939347394E-12</v>
      </c>
      <c r="GC153" s="22">
        <f t="shared" si="133"/>
        <v>7.5605490043076185E-12</v>
      </c>
      <c r="GD153" s="62">
        <f t="shared" si="134"/>
        <v>285.37882502906962</v>
      </c>
      <c r="GE153" s="62">
        <f ca="1">AVERAGE(OFFSET($GD$3,0,0,'Données projet'!$E$17+1,1))-AVERAGE(OFFSET($H$3,0,0,'Données projet'!$E$17+1,1))</f>
        <v>315.909549580511</v>
      </c>
      <c r="GF153" s="62">
        <f t="shared" si="158"/>
        <v>208.56856525402051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projet'!$B$17,Paramètres!$A$1:$I$89,3,0)*0.475*44/12</f>
        <v>0</v>
      </c>
      <c r="GM153" s="23">
        <f>EXP(-LN(2)/25)*GM152+(1-EXP(-LN(2)/25))/(LN(2)/25)*Calculateur!GH153*Calculateur!GJ153*VLOOKUP('Données projet'!$B$17,Paramètres!$A$1:$I$89,3,0)*0.475*44/12</f>
        <v>0</v>
      </c>
      <c r="GN153" s="23">
        <f>EXP(-LN(2)/2)*GN152+(1-EXP(-LN(2)/2))/(LN(2)/2)*GH153*GK153*VLOOKUP('Données projet'!$B$17,Paramètres!$A$1:$I$89,3,0)*0.475*44/12</f>
        <v>0</v>
      </c>
      <c r="GO153" s="23">
        <f t="shared" si="135"/>
        <v>0</v>
      </c>
      <c r="GP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67.830588644289648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1.1368683772161603E-13</v>
      </c>
      <c r="GV153" s="18">
        <f>GU153*VLOOKUP('Données projet'!$B$18,Paramètres!$A$1:$I$89,3,0)*VLOOKUP('Données projet'!$B$18,Paramètres!$A$1:$I$89,5,0)</f>
        <v>7.626113074366004E-14</v>
      </c>
      <c r="GW153" s="14">
        <f t="shared" si="159"/>
        <v>1.1823749172251317E-12</v>
      </c>
      <c r="GX153" s="22">
        <f t="shared" si="136"/>
        <v>2.1921244502123119E-12</v>
      </c>
      <c r="GY153" s="62">
        <f t="shared" si="137"/>
        <v>285.37882502906427</v>
      </c>
      <c r="GZ153" s="62">
        <f ca="1">AVERAGE(OFFSET($GY$3,0,0,'Données projet'!$E$18+1,1))-AVERAGE(OFFSET($H$3,0,0,'Données projet'!$E$18+1,1))</f>
        <v>254.35742752782755</v>
      </c>
      <c r="HA153" s="62">
        <f t="shared" si="160"/>
        <v>171.79611712137395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>
        <f>EXP(-LN(2)/35)*HG152+(1-EXP(-LN(2)/35))/(LN(2)/35)*HC153*HD153*VLOOKUP('Données projet'!$B$18,Paramètres!$A$1:$I$89,3,0)*0.475*44/12</f>
        <v>0</v>
      </c>
      <c r="HH153" s="23">
        <f>EXP(-LN(2)/25)*HH152+(1-EXP(-LN(2)/25))/(LN(2)/25)*Calculateur!HC153*Calculateur!HE153*VLOOKUP('Données projet'!$B$18,Paramètres!$A$1:$I$89,3,0)*0.475*44/12</f>
        <v>0</v>
      </c>
      <c r="HI153" s="23">
        <f>EXP(-LN(2)/2)*HI152+(1-EXP(-LN(2)/2))/(LN(2)/2)*HC153*HF153*VLOOKUP('Données projet'!$B$18,Paramètres!$A$1:$I$89,3,0)*0.475*44/12</f>
        <v>0</v>
      </c>
      <c r="HJ153" s="24">
        <f t="shared" si="138"/>
        <v>0</v>
      </c>
    </row>
    <row r="154" spans="1:218" x14ac:dyDescent="0.3">
      <c r="A154" s="11">
        <f t="shared" ref="A154:A202" si="161">A153+1</f>
        <v>151</v>
      </c>
      <c r="B154" s="76">
        <f>'Scénario référence'!$B$16*5+'Scénario référence'!$B$17*0+'Scénario référence'!$B$18*5</f>
        <v>3.9405000000000001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14.448500000000001</v>
      </c>
      <c r="H154" s="69">
        <f t="shared" si="110"/>
        <v>161.30656666666667</v>
      </c>
      <c r="I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67.868223081234021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210.54472399593521</v>
      </c>
      <c r="T154" s="62">
        <f t="shared" si="142"/>
        <v>181.14158435194193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67.868223081234021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289.05608923588198</v>
      </c>
      <c r="AO154" s="62">
        <f t="shared" si="144"/>
        <v>220.06639020312738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67.868223081234021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>
        <f>BD154*VLOOKUP('Données projet'!$B$11,Paramètres!$A$1:$I$89,3,0)*VLOOKUP('Données projet'!$B$11,Paramètres!$A$1:$I$89,5,0)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299.54950406029354</v>
      </c>
      <c r="BJ154" s="62">
        <f t="shared" si="146"/>
        <v>208.26364698165739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67.868223081234021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>
        <f>BY154*VLOOKUP('Données projet'!$B$12,Paramètres!$A$1:$I$89,3,0)*VLOOKUP('Données projet'!$B$12,Paramètres!$A$1:$I$89,5,0)</f>
        <v>0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441.30518831297212</v>
      </c>
      <c r="CE154" s="62">
        <f t="shared" si="148"/>
        <v>270.42872405271851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67.868223081234021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-1.1368683772161603E-13</v>
      </c>
      <c r="CU154" s="18">
        <f>CT154*VLOOKUP('Données projet'!$B$13,Paramètres!$A$1:$I$89,3,0)*VLOOKUP('Données projet'!$B$13,Paramètres!$A$1:$I$89,5,0)</f>
        <v>-9.9316821433603781E-14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310.81258463659196</v>
      </c>
      <c r="CZ154" s="62">
        <f t="shared" si="150"/>
        <v>287.31099756692083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67.868223081234021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>
        <f>DO154*VLOOKUP('Données projet'!$B$14,Paramètres!$A$1:$I$89,3,0)*VLOOKUP('Données projet'!$B$14,Paramètres!$A$1:$I$89,5,0)</f>
        <v>0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2" t="e">
        <f t="shared" si="125"/>
        <v>#NUM!</v>
      </c>
      <c r="DT154" s="62">
        <f ca="1">AVERAGE(OFFSET($DS$3,0,0,'Données projet'!$E$14+1,1))-AVERAGE(OFFSET($H$3,0,0,'Données projet'!$E$14+1,1))</f>
        <v>431.19274104373625</v>
      </c>
      <c r="DU154" s="62">
        <f t="shared" si="152"/>
        <v>264.67919175178133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67.868223081234021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-6.2527760746888816E-13</v>
      </c>
      <c r="EK154" s="18">
        <f>EJ154*VLOOKUP('Données projet'!$B$15,Paramètres!$A$1:$I$89,3,0)*VLOOKUP('Données projet'!$B$15,Paramètres!$A$1:$I$89,5,0)</f>
        <v>-2.9262992029543964E-13</v>
      </c>
      <c r="EL154" s="14" t="e">
        <f t="shared" ref="EL154:EL203" si="179">EXP(-1.0587+0.8836*LN(EK154)+0.284)</f>
        <v>#NUM!</v>
      </c>
      <c r="EM154" s="22" t="e">
        <f t="shared" ref="EM154:EM203" si="180">(EK154+EL154)*0.475*44/12</f>
        <v>#NUM!</v>
      </c>
      <c r="EN154" s="62" t="e">
        <f t="shared" si="128"/>
        <v>#NUM!</v>
      </c>
      <c r="EO154" s="62">
        <f ca="1">AVERAGE(OFFSET($EN$3,0,0,'Données projet'!$E$15+1,1))-AVERAGE(OFFSET($H$3,0,0,'Données projet'!$E$15+1,1))</f>
        <v>291.68530745507815</v>
      </c>
      <c r="EP154" s="62">
        <f t="shared" si="154"/>
        <v>175.95121106728979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0</v>
      </c>
      <c r="EZ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67.868223081234021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-1.1368683772161603E-13</v>
      </c>
      <c r="FF154" s="18">
        <f>FE154*VLOOKUP('Données projet'!$B$16,Paramètres!$A$1:$I$89,3,0)*VLOOKUP('Données projet'!$B$16,Paramètres!$A$1:$I$89,5,0)</f>
        <v>-7.4487616075202823E-14</v>
      </c>
      <c r="FG154" s="14" t="e">
        <f t="shared" ref="FG154:FG203" si="182">EXP(-1.0587+0.8836*LN(FF154)+0.284)</f>
        <v>#NUM!</v>
      </c>
      <c r="FH154" s="22" t="e">
        <f t="shared" ref="FH154:FH203" si="183">(FF154+FG154)*0.475*44/12</f>
        <v>#NUM!</v>
      </c>
      <c r="FI154" s="62" t="e">
        <f t="shared" si="131"/>
        <v>#NUM!</v>
      </c>
      <c r="FJ154" s="62">
        <f ca="1">AVERAGE(OFFSET($FI$3,0,0,'Données projet'!$E$16+1,1))-AVERAGE(OFFSET($H$3,0,0,'Données projet'!$E$16+1,1))</f>
        <v>248.75689726928428</v>
      </c>
      <c r="FK154" s="62">
        <f t="shared" si="156"/>
        <v>232.02291680388336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projet'!$B$16,Paramètres!$A$1:$I$89,3,0)*0.475*44/12</f>
        <v>0</v>
      </c>
      <c r="FR154" s="23">
        <f>EXP(-LN(2)/25)*FR153+(1-EXP(-LN(2)/25))/(LN(2)/25)*Calculateur!FM154*Calculateur!FO154*VLOOKUP('Données projet'!$B$16,Paramètres!$A$1:$I$89,3,0)*0.475*44/12</f>
        <v>0</v>
      </c>
      <c r="FS154" s="23">
        <f>EXP(-LN(2)/2)*FS153+(1-EXP(-LN(2)/2))/(LN(2)/2)*FM154*FP154*VLOOKUP('Données projet'!$B$16,Paramètres!$A$1:$I$89,3,0)*0.475*44/12</f>
        <v>0</v>
      </c>
      <c r="FT154" s="24">
        <f t="shared" ref="FT154:FT203" si="184">SUM(FQ154:FS154)</f>
        <v>0</v>
      </c>
      <c r="FU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67.868223081234021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5.1159076974727213E-13</v>
      </c>
      <c r="GA154" s="18">
        <f>FZ154*VLOOKUP('Données projet'!$B$17,Paramètres!$A$1:$I$89,3,0)*VLOOKUP('Données projet'!$B$17,Paramètres!$A$1:$I$89,5,0)</f>
        <v>3.0593128030886877E-13</v>
      </c>
      <c r="GB154" s="14">
        <f t="shared" ref="GB154:GB203" si="185">EXP(-1.0587+0.8836*LN(GA154)+0.284)</f>
        <v>4.0350537939347394E-12</v>
      </c>
      <c r="GC154" s="22">
        <f t="shared" ref="GC154:GC203" si="186">(GA154+GB154)*0.475*44/12</f>
        <v>7.5605490043076185E-12</v>
      </c>
      <c r="GD154" s="62">
        <f t="shared" si="134"/>
        <v>285.51681796453232</v>
      </c>
      <c r="GE154" s="62">
        <f ca="1">AVERAGE(OFFSET($GD$3,0,0,'Données projet'!$E$17+1,1))-AVERAGE(OFFSET($H$3,0,0,'Données projet'!$E$17+1,1))</f>
        <v>315.909549580511</v>
      </c>
      <c r="GF154" s="62">
        <f t="shared" si="158"/>
        <v>208.56856525402051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projet'!$B$17,Paramètres!$A$1:$I$89,3,0)*0.475*44/12</f>
        <v>0</v>
      </c>
      <c r="GM154" s="23">
        <f>EXP(-LN(2)/25)*GM153+(1-EXP(-LN(2)/25))/(LN(2)/25)*Calculateur!GH154*Calculateur!GJ154*VLOOKUP('Données projet'!$B$17,Paramètres!$A$1:$I$89,3,0)*0.475*44/12</f>
        <v>0</v>
      </c>
      <c r="GN154" s="23">
        <f>EXP(-LN(2)/2)*GN153+(1-EXP(-LN(2)/2))/(LN(2)/2)*GH154*GK154*VLOOKUP('Données projet'!$B$17,Paramètres!$A$1:$I$89,3,0)*0.475*44/12</f>
        <v>0</v>
      </c>
      <c r="GO154" s="23">
        <f t="shared" ref="GO154:GO203" si="187">SUM(GL154:GN154)</f>
        <v>0</v>
      </c>
      <c r="GP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67.868223081234021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1.1368683772161603E-13</v>
      </c>
      <c r="GV154" s="18">
        <f>GU154*VLOOKUP('Données projet'!$B$18,Paramètres!$A$1:$I$89,3,0)*VLOOKUP('Données projet'!$B$18,Paramètres!$A$1:$I$89,5,0)</f>
        <v>7.626113074366004E-14</v>
      </c>
      <c r="GW154" s="14">
        <f t="shared" ref="GW154:GW203" si="188">EXP(-1.0587+0.8836*LN(GV154)+0.284)</f>
        <v>1.1823749172251317E-12</v>
      </c>
      <c r="GX154" s="22">
        <f t="shared" ref="GX154:GX203" si="189">(GV154+GW154)*0.475*44/12</f>
        <v>2.1921244502123119E-12</v>
      </c>
      <c r="GY154" s="62">
        <f t="shared" si="137"/>
        <v>285.51681796452698</v>
      </c>
      <c r="GZ154" s="62">
        <f ca="1">AVERAGE(OFFSET($GY$3,0,0,'Données projet'!$E$18+1,1))-AVERAGE(OFFSET($H$3,0,0,'Données projet'!$E$18+1,1))</f>
        <v>254.35742752782755</v>
      </c>
      <c r="HA154" s="62">
        <f t="shared" si="160"/>
        <v>171.79611712137395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>
        <f>EXP(-LN(2)/35)*HG153+(1-EXP(-LN(2)/35))/(LN(2)/35)*HC154*HD154*VLOOKUP('Données projet'!$B$18,Paramètres!$A$1:$I$89,3,0)*0.475*44/12</f>
        <v>0</v>
      </c>
      <c r="HH154" s="23">
        <f>EXP(-LN(2)/25)*HH153+(1-EXP(-LN(2)/25))/(LN(2)/25)*Calculateur!HC154*Calculateur!HE154*VLOOKUP('Données projet'!$B$18,Paramètres!$A$1:$I$89,3,0)*0.475*44/12</f>
        <v>0</v>
      </c>
      <c r="HI154" s="23">
        <f>EXP(-LN(2)/2)*HI153+(1-EXP(-LN(2)/2))/(LN(2)/2)*HC154*HF154*VLOOKUP('Données projet'!$B$18,Paramètres!$A$1:$I$89,3,0)*0.475*44/12</f>
        <v>0</v>
      </c>
      <c r="HJ154" s="24">
        <f t="shared" ref="HJ154:HJ203" si="190">SUM(HG154:HI154)</f>
        <v>0</v>
      </c>
    </row>
    <row r="155" spans="1:218" x14ac:dyDescent="0.3">
      <c r="A155" s="11">
        <f t="shared" si="161"/>
        <v>152</v>
      </c>
      <c r="B155" s="76">
        <f>'Scénario référence'!$B$16*5+'Scénario référence'!$B$17*0+'Scénario référence'!$B$18*5</f>
        <v>3.9405000000000001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14.448500000000001</v>
      </c>
      <c r="H155" s="69">
        <f t="shared" si="110"/>
        <v>161.30656666666667</v>
      </c>
      <c r="I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67.905204644835422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210.54472399593521</v>
      </c>
      <c r="T155" s="62">
        <f t="shared" si="142"/>
        <v>181.14158435194193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67.905204644835422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289.05608923588198</v>
      </c>
      <c r="AO155" s="62">
        <f t="shared" si="144"/>
        <v>220.06639020312738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67.905204644835422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>
        <f>BD155*VLOOKUP('Données projet'!$B$11,Paramètres!$A$1:$I$89,3,0)*VLOOKUP('Données projet'!$B$11,Paramètres!$A$1:$I$89,5,0)</f>
        <v>0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299.54950406029354</v>
      </c>
      <c r="BJ155" s="62">
        <f t="shared" si="146"/>
        <v>208.26364698165739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67.905204644835422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>
        <f>BY155*VLOOKUP('Données projet'!$B$12,Paramètres!$A$1:$I$89,3,0)*VLOOKUP('Données projet'!$B$12,Paramètres!$A$1:$I$89,5,0)</f>
        <v>0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441.30518831297212</v>
      </c>
      <c r="CE155" s="62">
        <f t="shared" si="148"/>
        <v>270.42872405271851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67.905204644835422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-1.1368683772161603E-13</v>
      </c>
      <c r="CU155" s="18">
        <f>CT155*VLOOKUP('Données projet'!$B$13,Paramètres!$A$1:$I$89,3,0)*VLOOKUP('Données projet'!$B$13,Paramètres!$A$1:$I$89,5,0)</f>
        <v>-9.9316821433603781E-14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310.81258463659196</v>
      </c>
      <c r="CZ155" s="62">
        <f t="shared" si="150"/>
        <v>287.31099756692083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67.905204644835422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>
        <f>DO155*VLOOKUP('Données projet'!$B$14,Paramètres!$A$1:$I$89,3,0)*VLOOKUP('Données projet'!$B$14,Paramètres!$A$1:$I$89,5,0)</f>
        <v>0</v>
      </c>
      <c r="DQ155" s="14" t="e">
        <f t="shared" si="176"/>
        <v>#NUM!</v>
      </c>
      <c r="DR155" s="22" t="e">
        <f t="shared" si="177"/>
        <v>#NUM!</v>
      </c>
      <c r="DS155" s="62" t="e">
        <f t="shared" si="125"/>
        <v>#NUM!</v>
      </c>
      <c r="DT155" s="62">
        <f ca="1">AVERAGE(OFFSET($DS$3,0,0,'Données projet'!$E$14+1,1))-AVERAGE(OFFSET($H$3,0,0,'Données projet'!$E$14+1,1))</f>
        <v>431.19274104373625</v>
      </c>
      <c r="DU155" s="62">
        <f t="shared" si="152"/>
        <v>264.67919175178133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67.905204644835422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-6.2527760746888816E-13</v>
      </c>
      <c r="EK155" s="18">
        <f>EJ155*VLOOKUP('Données projet'!$B$15,Paramètres!$A$1:$I$89,3,0)*VLOOKUP('Données projet'!$B$15,Paramètres!$A$1:$I$89,5,0)</f>
        <v>-2.9262992029543964E-13</v>
      </c>
      <c r="EL155" s="14" t="e">
        <f t="shared" si="179"/>
        <v>#NUM!</v>
      </c>
      <c r="EM155" s="22" t="e">
        <f t="shared" si="180"/>
        <v>#NUM!</v>
      </c>
      <c r="EN155" s="62" t="e">
        <f t="shared" si="128"/>
        <v>#NUM!</v>
      </c>
      <c r="EO155" s="62">
        <f ca="1">AVERAGE(OFFSET($EN$3,0,0,'Données projet'!$E$15+1,1))-AVERAGE(OFFSET($H$3,0,0,'Données projet'!$E$15+1,1))</f>
        <v>291.68530745507815</v>
      </c>
      <c r="EP155" s="62">
        <f t="shared" si="154"/>
        <v>175.95121106728979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0</v>
      </c>
      <c r="EZ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67.905204644835422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-1.1368683772161603E-13</v>
      </c>
      <c r="FF155" s="18">
        <f>FE155*VLOOKUP('Données projet'!$B$16,Paramètres!$A$1:$I$89,3,0)*VLOOKUP('Données projet'!$B$16,Paramètres!$A$1:$I$89,5,0)</f>
        <v>-7.4487616075202823E-14</v>
      </c>
      <c r="FG155" s="14" t="e">
        <f t="shared" si="182"/>
        <v>#NUM!</v>
      </c>
      <c r="FH155" s="22" t="e">
        <f t="shared" si="183"/>
        <v>#NUM!</v>
      </c>
      <c r="FI155" s="62" t="e">
        <f t="shared" si="131"/>
        <v>#NUM!</v>
      </c>
      <c r="FJ155" s="62">
        <f ca="1">AVERAGE(OFFSET($FI$3,0,0,'Données projet'!$E$16+1,1))-AVERAGE(OFFSET($H$3,0,0,'Données projet'!$E$16+1,1))</f>
        <v>248.75689726928428</v>
      </c>
      <c r="FK155" s="62">
        <f t="shared" si="156"/>
        <v>232.02291680388336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projet'!$B$16,Paramètres!$A$1:$I$89,3,0)*0.475*44/12</f>
        <v>0</v>
      </c>
      <c r="FR155" s="23">
        <f>EXP(-LN(2)/25)*FR154+(1-EXP(-LN(2)/25))/(LN(2)/25)*Calculateur!FM155*Calculateur!FO155*VLOOKUP('Données projet'!$B$16,Paramètres!$A$1:$I$89,3,0)*0.475*44/12</f>
        <v>0</v>
      </c>
      <c r="FS155" s="23">
        <f>EXP(-LN(2)/2)*FS154+(1-EXP(-LN(2)/2))/(LN(2)/2)*FM155*FP155*VLOOKUP('Données projet'!$B$16,Paramètres!$A$1:$I$89,3,0)*0.475*44/12</f>
        <v>0</v>
      </c>
      <c r="FT155" s="24">
        <f t="shared" si="184"/>
        <v>0</v>
      </c>
      <c r="FU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67.905204644835422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5.1159076974727213E-13</v>
      </c>
      <c r="GA155" s="18">
        <f>FZ155*VLOOKUP('Données projet'!$B$17,Paramètres!$A$1:$I$89,3,0)*VLOOKUP('Données projet'!$B$17,Paramètres!$A$1:$I$89,5,0)</f>
        <v>3.0593128030886877E-13</v>
      </c>
      <c r="GB155" s="14">
        <f t="shared" si="185"/>
        <v>4.0350537939347394E-12</v>
      </c>
      <c r="GC155" s="22">
        <f t="shared" si="186"/>
        <v>7.5605490043076185E-12</v>
      </c>
      <c r="GD155" s="62">
        <f t="shared" si="134"/>
        <v>285.65241703107074</v>
      </c>
      <c r="GE155" s="62">
        <f ca="1">AVERAGE(OFFSET($GD$3,0,0,'Données projet'!$E$17+1,1))-AVERAGE(OFFSET($H$3,0,0,'Données projet'!$E$17+1,1))</f>
        <v>315.909549580511</v>
      </c>
      <c r="GF155" s="62">
        <f t="shared" si="158"/>
        <v>208.56856525402051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projet'!$B$17,Paramètres!$A$1:$I$89,3,0)*0.475*44/12</f>
        <v>0</v>
      </c>
      <c r="GM155" s="23">
        <f>EXP(-LN(2)/25)*GM154+(1-EXP(-LN(2)/25))/(LN(2)/25)*Calculateur!GH155*Calculateur!GJ155*VLOOKUP('Données projet'!$B$17,Paramètres!$A$1:$I$89,3,0)*0.475*44/12</f>
        <v>0</v>
      </c>
      <c r="GN155" s="23">
        <f>EXP(-LN(2)/2)*GN154+(1-EXP(-LN(2)/2))/(LN(2)/2)*GH155*GK155*VLOOKUP('Données projet'!$B$17,Paramètres!$A$1:$I$89,3,0)*0.475*44/12</f>
        <v>0</v>
      </c>
      <c r="GO155" s="23">
        <f t="shared" si="187"/>
        <v>0</v>
      </c>
      <c r="GP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67.905204644835422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1.1368683772161603E-13</v>
      </c>
      <c r="GV155" s="18">
        <f>GU155*VLOOKUP('Données projet'!$B$18,Paramètres!$A$1:$I$89,3,0)*VLOOKUP('Données projet'!$B$18,Paramètres!$A$1:$I$89,5,0)</f>
        <v>7.626113074366004E-14</v>
      </c>
      <c r="GW155" s="14">
        <f t="shared" si="188"/>
        <v>1.1823749172251317E-12</v>
      </c>
      <c r="GX155" s="22">
        <f t="shared" si="189"/>
        <v>2.1921244502123119E-12</v>
      </c>
      <c r="GY155" s="62">
        <f t="shared" si="137"/>
        <v>285.6524170310654</v>
      </c>
      <c r="GZ155" s="62">
        <f ca="1">AVERAGE(OFFSET($GY$3,0,0,'Données projet'!$E$18+1,1))-AVERAGE(OFFSET($H$3,0,0,'Données projet'!$E$18+1,1))</f>
        <v>254.35742752782755</v>
      </c>
      <c r="HA155" s="62">
        <f t="shared" si="160"/>
        <v>171.79611712137395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>
        <f>EXP(-LN(2)/35)*HG154+(1-EXP(-LN(2)/35))/(LN(2)/35)*HC155*HD155*VLOOKUP('Données projet'!$B$18,Paramètres!$A$1:$I$89,3,0)*0.475*44/12</f>
        <v>0</v>
      </c>
      <c r="HH155" s="23">
        <f>EXP(-LN(2)/25)*HH154+(1-EXP(-LN(2)/25))/(LN(2)/25)*Calculateur!HC155*Calculateur!HE155*VLOOKUP('Données projet'!$B$18,Paramètres!$A$1:$I$89,3,0)*0.475*44/12</f>
        <v>0</v>
      </c>
      <c r="HI155" s="23">
        <f>EXP(-LN(2)/2)*HI154+(1-EXP(-LN(2)/2))/(LN(2)/2)*HC155*HF155*VLOOKUP('Données projet'!$B$18,Paramètres!$A$1:$I$89,3,0)*0.475*44/12</f>
        <v>0</v>
      </c>
      <c r="HJ155" s="24">
        <f t="shared" si="190"/>
        <v>0</v>
      </c>
    </row>
    <row r="156" spans="1:218" x14ac:dyDescent="0.3">
      <c r="A156" s="11">
        <f t="shared" si="161"/>
        <v>153</v>
      </c>
      <c r="B156" s="76">
        <f>'Scénario référence'!$B$16*5+'Scénario référence'!$B$17*0+'Scénario référence'!$B$18*5</f>
        <v>3.9405000000000001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14.448500000000001</v>
      </c>
      <c r="H156" s="69">
        <f t="shared" si="110"/>
        <v>161.30656666666667</v>
      </c>
      <c r="I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67.941544660986708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210.54472399593521</v>
      </c>
      <c r="T156" s="62">
        <f t="shared" si="142"/>
        <v>181.14158435194193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67.941544660986708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289.05608923588198</v>
      </c>
      <c r="AO156" s="62">
        <f t="shared" si="144"/>
        <v>220.06639020312738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67.941544660986708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>
        <f>BD156*VLOOKUP('Données projet'!$B$11,Paramètres!$A$1:$I$89,3,0)*VLOOKUP('Données projet'!$B$11,Paramètres!$A$1:$I$89,5,0)</f>
        <v>0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299.54950406029354</v>
      </c>
      <c r="BJ156" s="62">
        <f t="shared" si="146"/>
        <v>208.26364698165739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67.941544660986708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>
        <f>BY156*VLOOKUP('Données projet'!$B$12,Paramètres!$A$1:$I$89,3,0)*VLOOKUP('Données projet'!$B$12,Paramètres!$A$1:$I$89,5,0)</f>
        <v>0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441.30518831297212</v>
      </c>
      <c r="CE156" s="62">
        <f t="shared" si="148"/>
        <v>270.42872405271851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67.941544660986708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-1.1368683772161603E-13</v>
      </c>
      <c r="CU156" s="18">
        <f>CT156*VLOOKUP('Données projet'!$B$13,Paramètres!$A$1:$I$89,3,0)*VLOOKUP('Données projet'!$B$13,Paramètres!$A$1:$I$89,5,0)</f>
        <v>-9.9316821433603781E-14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310.81258463659196</v>
      </c>
      <c r="CZ156" s="62">
        <f t="shared" si="150"/>
        <v>287.31099756692083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67.941544660986708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>
        <f>DO156*VLOOKUP('Données projet'!$B$14,Paramètres!$A$1:$I$89,3,0)*VLOOKUP('Données projet'!$B$14,Paramètres!$A$1:$I$89,5,0)</f>
        <v>0</v>
      </c>
      <c r="DQ156" s="14" t="e">
        <f t="shared" si="176"/>
        <v>#NUM!</v>
      </c>
      <c r="DR156" s="22" t="e">
        <f t="shared" si="177"/>
        <v>#NUM!</v>
      </c>
      <c r="DS156" s="62" t="e">
        <f t="shared" si="125"/>
        <v>#NUM!</v>
      </c>
      <c r="DT156" s="62">
        <f ca="1">AVERAGE(OFFSET($DS$3,0,0,'Données projet'!$E$14+1,1))-AVERAGE(OFFSET($H$3,0,0,'Données projet'!$E$14+1,1))</f>
        <v>431.19274104373625</v>
      </c>
      <c r="DU156" s="62">
        <f t="shared" si="152"/>
        <v>264.67919175178133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67.941544660986708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-6.2527760746888816E-13</v>
      </c>
      <c r="EK156" s="18">
        <f>EJ156*VLOOKUP('Données projet'!$B$15,Paramètres!$A$1:$I$89,3,0)*VLOOKUP('Données projet'!$B$15,Paramètres!$A$1:$I$89,5,0)</f>
        <v>-2.9262992029543964E-13</v>
      </c>
      <c r="EL156" s="14" t="e">
        <f t="shared" si="179"/>
        <v>#NUM!</v>
      </c>
      <c r="EM156" s="22" t="e">
        <f t="shared" si="180"/>
        <v>#NUM!</v>
      </c>
      <c r="EN156" s="62" t="e">
        <f t="shared" si="128"/>
        <v>#NUM!</v>
      </c>
      <c r="EO156" s="62">
        <f ca="1">AVERAGE(OFFSET($EN$3,0,0,'Données projet'!$E$15+1,1))-AVERAGE(OFFSET($H$3,0,0,'Données projet'!$E$15+1,1))</f>
        <v>291.68530745507815</v>
      </c>
      <c r="EP156" s="62">
        <f t="shared" si="154"/>
        <v>175.95121106728979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0</v>
      </c>
      <c r="EZ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67.941544660986708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-1.1368683772161603E-13</v>
      </c>
      <c r="FF156" s="18">
        <f>FE156*VLOOKUP('Données projet'!$B$16,Paramètres!$A$1:$I$89,3,0)*VLOOKUP('Données projet'!$B$16,Paramètres!$A$1:$I$89,5,0)</f>
        <v>-7.4487616075202823E-14</v>
      </c>
      <c r="FG156" s="14" t="e">
        <f t="shared" si="182"/>
        <v>#NUM!</v>
      </c>
      <c r="FH156" s="22" t="e">
        <f t="shared" si="183"/>
        <v>#NUM!</v>
      </c>
      <c r="FI156" s="62" t="e">
        <f t="shared" si="131"/>
        <v>#NUM!</v>
      </c>
      <c r="FJ156" s="62">
        <f ca="1">AVERAGE(OFFSET($FI$3,0,0,'Données projet'!$E$16+1,1))-AVERAGE(OFFSET($H$3,0,0,'Données projet'!$E$16+1,1))</f>
        <v>248.75689726928428</v>
      </c>
      <c r="FK156" s="62">
        <f t="shared" si="156"/>
        <v>232.02291680388336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projet'!$B$16,Paramètres!$A$1:$I$89,3,0)*0.475*44/12</f>
        <v>0</v>
      </c>
      <c r="FR156" s="23">
        <f>EXP(-LN(2)/25)*FR155+(1-EXP(-LN(2)/25))/(LN(2)/25)*Calculateur!FM156*Calculateur!FO156*VLOOKUP('Données projet'!$B$16,Paramètres!$A$1:$I$89,3,0)*0.475*44/12</f>
        <v>0</v>
      </c>
      <c r="FS156" s="23">
        <f>EXP(-LN(2)/2)*FS155+(1-EXP(-LN(2)/2))/(LN(2)/2)*FM156*FP156*VLOOKUP('Données projet'!$B$16,Paramètres!$A$1:$I$89,3,0)*0.475*44/12</f>
        <v>0</v>
      </c>
      <c r="FT156" s="24">
        <f t="shared" si="184"/>
        <v>0</v>
      </c>
      <c r="FU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67.941544660986708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5.1159076974727213E-13</v>
      </c>
      <c r="GA156" s="18">
        <f>FZ156*VLOOKUP('Données projet'!$B$17,Paramètres!$A$1:$I$89,3,0)*VLOOKUP('Données projet'!$B$17,Paramètres!$A$1:$I$89,5,0)</f>
        <v>3.0593128030886877E-13</v>
      </c>
      <c r="GB156" s="14">
        <f t="shared" si="185"/>
        <v>4.0350537939347394E-12</v>
      </c>
      <c r="GC156" s="22">
        <f t="shared" si="186"/>
        <v>7.5605490043076185E-12</v>
      </c>
      <c r="GD156" s="62">
        <f t="shared" si="134"/>
        <v>285.7856637569588</v>
      </c>
      <c r="GE156" s="62">
        <f ca="1">AVERAGE(OFFSET($GD$3,0,0,'Données projet'!$E$17+1,1))-AVERAGE(OFFSET($H$3,0,0,'Données projet'!$E$17+1,1))</f>
        <v>315.909549580511</v>
      </c>
      <c r="GF156" s="62">
        <f t="shared" si="158"/>
        <v>208.56856525402051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projet'!$B$17,Paramètres!$A$1:$I$89,3,0)*0.475*44/12</f>
        <v>0</v>
      </c>
      <c r="GM156" s="23">
        <f>EXP(-LN(2)/25)*GM155+(1-EXP(-LN(2)/25))/(LN(2)/25)*Calculateur!GH156*Calculateur!GJ156*VLOOKUP('Données projet'!$B$17,Paramètres!$A$1:$I$89,3,0)*0.475*44/12</f>
        <v>0</v>
      </c>
      <c r="GN156" s="23">
        <f>EXP(-LN(2)/2)*GN155+(1-EXP(-LN(2)/2))/(LN(2)/2)*GH156*GK156*VLOOKUP('Données projet'!$B$17,Paramètres!$A$1:$I$89,3,0)*0.475*44/12</f>
        <v>0</v>
      </c>
      <c r="GO156" s="23">
        <f t="shared" si="187"/>
        <v>0</v>
      </c>
      <c r="GP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67.941544660986708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1.1368683772161603E-13</v>
      </c>
      <c r="GV156" s="18">
        <f>GU156*VLOOKUP('Données projet'!$B$18,Paramètres!$A$1:$I$89,3,0)*VLOOKUP('Données projet'!$B$18,Paramètres!$A$1:$I$89,5,0)</f>
        <v>7.626113074366004E-14</v>
      </c>
      <c r="GW156" s="14">
        <f t="shared" si="188"/>
        <v>1.1823749172251317E-12</v>
      </c>
      <c r="GX156" s="22">
        <f t="shared" si="189"/>
        <v>2.1921244502123119E-12</v>
      </c>
      <c r="GY156" s="62">
        <f t="shared" si="137"/>
        <v>285.78566375695345</v>
      </c>
      <c r="GZ156" s="62">
        <f ca="1">AVERAGE(OFFSET($GY$3,0,0,'Données projet'!$E$18+1,1))-AVERAGE(OFFSET($H$3,0,0,'Données projet'!$E$18+1,1))</f>
        <v>254.35742752782755</v>
      </c>
      <c r="HA156" s="62">
        <f t="shared" si="160"/>
        <v>171.79611712137395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>
        <f>EXP(-LN(2)/35)*HG155+(1-EXP(-LN(2)/35))/(LN(2)/35)*HC156*HD156*VLOOKUP('Données projet'!$B$18,Paramètres!$A$1:$I$89,3,0)*0.475*44/12</f>
        <v>0</v>
      </c>
      <c r="HH156" s="23">
        <f>EXP(-LN(2)/25)*HH155+(1-EXP(-LN(2)/25))/(LN(2)/25)*Calculateur!HC156*Calculateur!HE156*VLOOKUP('Données projet'!$B$18,Paramètres!$A$1:$I$89,3,0)*0.475*44/12</f>
        <v>0</v>
      </c>
      <c r="HI156" s="23">
        <f>EXP(-LN(2)/2)*HI155+(1-EXP(-LN(2)/2))/(LN(2)/2)*HC156*HF156*VLOOKUP('Données projet'!$B$18,Paramètres!$A$1:$I$89,3,0)*0.475*44/12</f>
        <v>0</v>
      </c>
      <c r="HJ156" s="24">
        <f t="shared" si="190"/>
        <v>0</v>
      </c>
    </row>
    <row r="157" spans="1:218" x14ac:dyDescent="0.3">
      <c r="A157" s="11">
        <f t="shared" si="161"/>
        <v>154</v>
      </c>
      <c r="B157" s="76">
        <f>'Scénario référence'!$B$16*5+'Scénario référence'!$B$17*0+'Scénario référence'!$B$18*5</f>
        <v>3.9405000000000001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14.448500000000001</v>
      </c>
      <c r="H157" s="69">
        <f t="shared" si="110"/>
        <v>161.30656666666667</v>
      </c>
      <c r="I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67.977254259101883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210.54472399593521</v>
      </c>
      <c r="T157" s="62">
        <f t="shared" si="142"/>
        <v>181.14158435194193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67.977254259101883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289.05608923588198</v>
      </c>
      <c r="AO157" s="62">
        <f t="shared" si="144"/>
        <v>220.06639020312738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67.977254259101883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>
        <f>BD157*VLOOKUP('Données projet'!$B$11,Paramètres!$A$1:$I$89,3,0)*VLOOKUP('Données projet'!$B$11,Paramètres!$A$1:$I$89,5,0)</f>
        <v>0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299.54950406029354</v>
      </c>
      <c r="BJ157" s="62">
        <f t="shared" si="146"/>
        <v>208.26364698165739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67.977254259101883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>
        <f>BY157*VLOOKUP('Données projet'!$B$12,Paramètres!$A$1:$I$89,3,0)*VLOOKUP('Données projet'!$B$12,Paramètres!$A$1:$I$89,5,0)</f>
        <v>0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441.30518831297212</v>
      </c>
      <c r="CE157" s="62">
        <f t="shared" si="148"/>
        <v>270.42872405271851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67.977254259101883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-1.1368683772161603E-13</v>
      </c>
      <c r="CU157" s="18">
        <f>CT157*VLOOKUP('Données projet'!$B$13,Paramètres!$A$1:$I$89,3,0)*VLOOKUP('Données projet'!$B$13,Paramètres!$A$1:$I$89,5,0)</f>
        <v>-9.9316821433603781E-14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310.81258463659196</v>
      </c>
      <c r="CZ157" s="62">
        <f t="shared" si="150"/>
        <v>287.31099756692083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67.977254259101883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>
        <f>DO157*VLOOKUP('Données projet'!$B$14,Paramètres!$A$1:$I$89,3,0)*VLOOKUP('Données projet'!$B$14,Paramètres!$A$1:$I$89,5,0)</f>
        <v>0</v>
      </c>
      <c r="DQ157" s="14" t="e">
        <f t="shared" si="176"/>
        <v>#NUM!</v>
      </c>
      <c r="DR157" s="22" t="e">
        <f t="shared" si="177"/>
        <v>#NUM!</v>
      </c>
      <c r="DS157" s="62" t="e">
        <f t="shared" si="125"/>
        <v>#NUM!</v>
      </c>
      <c r="DT157" s="62">
        <f ca="1">AVERAGE(OFFSET($DS$3,0,0,'Données projet'!$E$14+1,1))-AVERAGE(OFFSET($H$3,0,0,'Données projet'!$E$14+1,1))</f>
        <v>431.19274104373625</v>
      </c>
      <c r="DU157" s="62">
        <f t="shared" si="152"/>
        <v>264.67919175178133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67.977254259101883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-6.2527760746888816E-13</v>
      </c>
      <c r="EK157" s="18">
        <f>EJ157*VLOOKUP('Données projet'!$B$15,Paramètres!$A$1:$I$89,3,0)*VLOOKUP('Données projet'!$B$15,Paramètres!$A$1:$I$89,5,0)</f>
        <v>-2.9262992029543964E-13</v>
      </c>
      <c r="EL157" s="14" t="e">
        <f t="shared" si="179"/>
        <v>#NUM!</v>
      </c>
      <c r="EM157" s="22" t="e">
        <f t="shared" si="180"/>
        <v>#NUM!</v>
      </c>
      <c r="EN157" s="62" t="e">
        <f t="shared" si="128"/>
        <v>#NUM!</v>
      </c>
      <c r="EO157" s="62">
        <f ca="1">AVERAGE(OFFSET($EN$3,0,0,'Données projet'!$E$15+1,1))-AVERAGE(OFFSET($H$3,0,0,'Données projet'!$E$15+1,1))</f>
        <v>291.68530745507815</v>
      </c>
      <c r="EP157" s="62">
        <f t="shared" si="154"/>
        <v>175.95121106728979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0</v>
      </c>
      <c r="EZ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67.977254259101883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-1.1368683772161603E-13</v>
      </c>
      <c r="FF157" s="18">
        <f>FE157*VLOOKUP('Données projet'!$B$16,Paramètres!$A$1:$I$89,3,0)*VLOOKUP('Données projet'!$B$16,Paramètres!$A$1:$I$89,5,0)</f>
        <v>-7.4487616075202823E-14</v>
      </c>
      <c r="FG157" s="14" t="e">
        <f t="shared" si="182"/>
        <v>#NUM!</v>
      </c>
      <c r="FH157" s="22" t="e">
        <f t="shared" si="183"/>
        <v>#NUM!</v>
      </c>
      <c r="FI157" s="62" t="e">
        <f t="shared" si="131"/>
        <v>#NUM!</v>
      </c>
      <c r="FJ157" s="62">
        <f ca="1">AVERAGE(OFFSET($FI$3,0,0,'Données projet'!$E$16+1,1))-AVERAGE(OFFSET($H$3,0,0,'Données projet'!$E$16+1,1))</f>
        <v>248.75689726928428</v>
      </c>
      <c r="FK157" s="62">
        <f t="shared" si="156"/>
        <v>232.02291680388336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projet'!$B$16,Paramètres!$A$1:$I$89,3,0)*0.475*44/12</f>
        <v>0</v>
      </c>
      <c r="FR157" s="23">
        <f>EXP(-LN(2)/25)*FR156+(1-EXP(-LN(2)/25))/(LN(2)/25)*Calculateur!FM157*Calculateur!FO157*VLOOKUP('Données projet'!$B$16,Paramètres!$A$1:$I$89,3,0)*0.475*44/12</f>
        <v>0</v>
      </c>
      <c r="FS157" s="23">
        <f>EXP(-LN(2)/2)*FS156+(1-EXP(-LN(2)/2))/(LN(2)/2)*FM157*FP157*VLOOKUP('Données projet'!$B$16,Paramètres!$A$1:$I$89,3,0)*0.475*44/12</f>
        <v>0</v>
      </c>
      <c r="FT157" s="24">
        <f t="shared" si="184"/>
        <v>0</v>
      </c>
      <c r="FU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67.977254259101883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5.1159076974727213E-13</v>
      </c>
      <c r="GA157" s="18">
        <f>FZ157*VLOOKUP('Données projet'!$B$17,Paramètres!$A$1:$I$89,3,0)*VLOOKUP('Données projet'!$B$17,Paramètres!$A$1:$I$89,5,0)</f>
        <v>3.0593128030886877E-13</v>
      </c>
      <c r="GB157" s="14">
        <f t="shared" si="185"/>
        <v>4.0350537939347394E-12</v>
      </c>
      <c r="GC157" s="22">
        <f t="shared" si="186"/>
        <v>7.5605490043076185E-12</v>
      </c>
      <c r="GD157" s="62">
        <f t="shared" si="134"/>
        <v>285.91659895004778</v>
      </c>
      <c r="GE157" s="62">
        <f ca="1">AVERAGE(OFFSET($GD$3,0,0,'Données projet'!$E$17+1,1))-AVERAGE(OFFSET($H$3,0,0,'Données projet'!$E$17+1,1))</f>
        <v>315.909549580511</v>
      </c>
      <c r="GF157" s="62">
        <f t="shared" si="158"/>
        <v>208.56856525402051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projet'!$B$17,Paramètres!$A$1:$I$89,3,0)*0.475*44/12</f>
        <v>0</v>
      </c>
      <c r="GM157" s="23">
        <f>EXP(-LN(2)/25)*GM156+(1-EXP(-LN(2)/25))/(LN(2)/25)*Calculateur!GH157*Calculateur!GJ157*VLOOKUP('Données projet'!$B$17,Paramètres!$A$1:$I$89,3,0)*0.475*44/12</f>
        <v>0</v>
      </c>
      <c r="GN157" s="23">
        <f>EXP(-LN(2)/2)*GN156+(1-EXP(-LN(2)/2))/(LN(2)/2)*GH157*GK157*VLOOKUP('Données projet'!$B$17,Paramètres!$A$1:$I$89,3,0)*0.475*44/12</f>
        <v>0</v>
      </c>
      <c r="GO157" s="23">
        <f t="shared" si="187"/>
        <v>0</v>
      </c>
      <c r="GP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67.977254259101883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1.1368683772161603E-13</v>
      </c>
      <c r="GV157" s="18">
        <f>GU157*VLOOKUP('Données projet'!$B$18,Paramètres!$A$1:$I$89,3,0)*VLOOKUP('Données projet'!$B$18,Paramètres!$A$1:$I$89,5,0)</f>
        <v>7.626113074366004E-14</v>
      </c>
      <c r="GW157" s="14">
        <f t="shared" si="188"/>
        <v>1.1823749172251317E-12</v>
      </c>
      <c r="GX157" s="22">
        <f t="shared" si="189"/>
        <v>2.1921244502123119E-12</v>
      </c>
      <c r="GY157" s="62">
        <f t="shared" si="137"/>
        <v>285.91659895004244</v>
      </c>
      <c r="GZ157" s="62">
        <f ca="1">AVERAGE(OFFSET($GY$3,0,0,'Données projet'!$E$18+1,1))-AVERAGE(OFFSET($H$3,0,0,'Données projet'!$E$18+1,1))</f>
        <v>254.35742752782755</v>
      </c>
      <c r="HA157" s="62">
        <f t="shared" si="160"/>
        <v>171.79611712137395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>
        <f>EXP(-LN(2)/35)*HG156+(1-EXP(-LN(2)/35))/(LN(2)/35)*HC157*HD157*VLOOKUP('Données projet'!$B$18,Paramètres!$A$1:$I$89,3,0)*0.475*44/12</f>
        <v>0</v>
      </c>
      <c r="HH157" s="23">
        <f>EXP(-LN(2)/25)*HH156+(1-EXP(-LN(2)/25))/(LN(2)/25)*Calculateur!HC157*Calculateur!HE157*VLOOKUP('Données projet'!$B$18,Paramètres!$A$1:$I$89,3,0)*0.475*44/12</f>
        <v>0</v>
      </c>
      <c r="HI157" s="23">
        <f>EXP(-LN(2)/2)*HI156+(1-EXP(-LN(2)/2))/(LN(2)/2)*HC157*HF157*VLOOKUP('Données projet'!$B$18,Paramètres!$A$1:$I$89,3,0)*0.475*44/12</f>
        <v>0</v>
      </c>
      <c r="HJ157" s="24">
        <f t="shared" si="190"/>
        <v>0</v>
      </c>
    </row>
    <row r="158" spans="1:218" x14ac:dyDescent="0.3">
      <c r="A158" s="11">
        <f t="shared" si="161"/>
        <v>155</v>
      </c>
      <c r="B158" s="76">
        <f>'Scénario référence'!$B$16*5+'Scénario référence'!$B$17*0+'Scénario référence'!$B$18*5</f>
        <v>3.9405000000000001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14.448500000000001</v>
      </c>
      <c r="H158" s="69">
        <f t="shared" si="110"/>
        <v>161.30656666666667</v>
      </c>
      <c r="I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68.012344375524464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210.54472399593521</v>
      </c>
      <c r="T158" s="62">
        <f t="shared" si="142"/>
        <v>181.14158435194193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68.012344375524464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289.05608923588198</v>
      </c>
      <c r="AO158" s="62">
        <f t="shared" si="144"/>
        <v>220.06639020312738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68.012344375524464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>
        <f>BD158*VLOOKUP('Données projet'!$B$11,Paramètres!$A$1:$I$89,3,0)*VLOOKUP('Données projet'!$B$11,Paramètres!$A$1:$I$89,5,0)</f>
        <v>0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299.54950406029354</v>
      </c>
      <c r="BJ158" s="62">
        <f t="shared" si="146"/>
        <v>208.26364698165739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68.012344375524464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>
        <f>BY158*VLOOKUP('Données projet'!$B$12,Paramètres!$A$1:$I$89,3,0)*VLOOKUP('Données projet'!$B$12,Paramètres!$A$1:$I$89,5,0)</f>
        <v>0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441.30518831297212</v>
      </c>
      <c r="CE158" s="62">
        <f t="shared" si="148"/>
        <v>270.42872405271851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68.012344375524464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-1.1368683772161603E-13</v>
      </c>
      <c r="CU158" s="18">
        <f>CT158*VLOOKUP('Données projet'!$B$13,Paramètres!$A$1:$I$89,3,0)*VLOOKUP('Données projet'!$B$13,Paramètres!$A$1:$I$89,5,0)</f>
        <v>-9.9316821433603781E-14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310.81258463659196</v>
      </c>
      <c r="CZ158" s="62">
        <f t="shared" si="150"/>
        <v>287.31099756692083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68.012344375524464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>
        <f>DO158*VLOOKUP('Données projet'!$B$14,Paramètres!$A$1:$I$89,3,0)*VLOOKUP('Données projet'!$B$14,Paramètres!$A$1:$I$89,5,0)</f>
        <v>0</v>
      </c>
      <c r="DQ158" s="14" t="e">
        <f t="shared" si="176"/>
        <v>#NUM!</v>
      </c>
      <c r="DR158" s="22" t="e">
        <f t="shared" si="177"/>
        <v>#NUM!</v>
      </c>
      <c r="DS158" s="62" t="e">
        <f t="shared" si="125"/>
        <v>#NUM!</v>
      </c>
      <c r="DT158" s="62">
        <f ca="1">AVERAGE(OFFSET($DS$3,0,0,'Données projet'!$E$14+1,1))-AVERAGE(OFFSET($H$3,0,0,'Données projet'!$E$14+1,1))</f>
        <v>431.19274104373625</v>
      </c>
      <c r="DU158" s="62">
        <f t="shared" si="152"/>
        <v>264.67919175178133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68.012344375524464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-6.2527760746888816E-13</v>
      </c>
      <c r="EK158" s="18">
        <f>EJ158*VLOOKUP('Données projet'!$B$15,Paramètres!$A$1:$I$89,3,0)*VLOOKUP('Données projet'!$B$15,Paramètres!$A$1:$I$89,5,0)</f>
        <v>-2.9262992029543964E-13</v>
      </c>
      <c r="EL158" s="14" t="e">
        <f t="shared" si="179"/>
        <v>#NUM!</v>
      </c>
      <c r="EM158" s="22" t="e">
        <f t="shared" si="180"/>
        <v>#NUM!</v>
      </c>
      <c r="EN158" s="62" t="e">
        <f t="shared" si="128"/>
        <v>#NUM!</v>
      </c>
      <c r="EO158" s="62">
        <f ca="1">AVERAGE(OFFSET($EN$3,0,0,'Données projet'!$E$15+1,1))-AVERAGE(OFFSET($H$3,0,0,'Données projet'!$E$15+1,1))</f>
        <v>291.68530745507815</v>
      </c>
      <c r="EP158" s="62">
        <f t="shared" si="154"/>
        <v>175.95121106728979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0</v>
      </c>
      <c r="EZ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68.012344375524464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-1.1368683772161603E-13</v>
      </c>
      <c r="FF158" s="18">
        <f>FE158*VLOOKUP('Données projet'!$B$16,Paramètres!$A$1:$I$89,3,0)*VLOOKUP('Données projet'!$B$16,Paramètres!$A$1:$I$89,5,0)</f>
        <v>-7.4487616075202823E-14</v>
      </c>
      <c r="FG158" s="14" t="e">
        <f t="shared" si="182"/>
        <v>#NUM!</v>
      </c>
      <c r="FH158" s="22" t="e">
        <f t="shared" si="183"/>
        <v>#NUM!</v>
      </c>
      <c r="FI158" s="62" t="e">
        <f t="shared" si="131"/>
        <v>#NUM!</v>
      </c>
      <c r="FJ158" s="62">
        <f ca="1">AVERAGE(OFFSET($FI$3,0,0,'Données projet'!$E$16+1,1))-AVERAGE(OFFSET($H$3,0,0,'Données projet'!$E$16+1,1))</f>
        <v>248.75689726928428</v>
      </c>
      <c r="FK158" s="62">
        <f t="shared" si="156"/>
        <v>232.02291680388336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projet'!$B$16,Paramètres!$A$1:$I$89,3,0)*0.475*44/12</f>
        <v>0</v>
      </c>
      <c r="FR158" s="23">
        <f>EXP(-LN(2)/25)*FR157+(1-EXP(-LN(2)/25))/(LN(2)/25)*Calculateur!FM158*Calculateur!FO158*VLOOKUP('Données projet'!$B$16,Paramètres!$A$1:$I$89,3,0)*0.475*44/12</f>
        <v>0</v>
      </c>
      <c r="FS158" s="23">
        <f>EXP(-LN(2)/2)*FS157+(1-EXP(-LN(2)/2))/(LN(2)/2)*FM158*FP158*VLOOKUP('Données projet'!$B$16,Paramètres!$A$1:$I$89,3,0)*0.475*44/12</f>
        <v>0</v>
      </c>
      <c r="FT158" s="24">
        <f t="shared" si="184"/>
        <v>0</v>
      </c>
      <c r="FU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68.012344375524464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5.1159076974727213E-13</v>
      </c>
      <c r="GA158" s="18">
        <f>FZ158*VLOOKUP('Données projet'!$B$17,Paramètres!$A$1:$I$89,3,0)*VLOOKUP('Données projet'!$B$17,Paramètres!$A$1:$I$89,5,0)</f>
        <v>3.0593128030886877E-13</v>
      </c>
      <c r="GB158" s="14">
        <f t="shared" si="185"/>
        <v>4.0350537939347394E-12</v>
      </c>
      <c r="GC158" s="22">
        <f t="shared" si="186"/>
        <v>7.5605490043076185E-12</v>
      </c>
      <c r="GD158" s="62">
        <f t="shared" si="134"/>
        <v>286.04526271026396</v>
      </c>
      <c r="GE158" s="62">
        <f ca="1">AVERAGE(OFFSET($GD$3,0,0,'Données projet'!$E$17+1,1))-AVERAGE(OFFSET($H$3,0,0,'Données projet'!$E$17+1,1))</f>
        <v>315.909549580511</v>
      </c>
      <c r="GF158" s="62">
        <f t="shared" si="158"/>
        <v>208.56856525402051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projet'!$B$17,Paramètres!$A$1:$I$89,3,0)*0.475*44/12</f>
        <v>0</v>
      </c>
      <c r="GM158" s="23">
        <f>EXP(-LN(2)/25)*GM157+(1-EXP(-LN(2)/25))/(LN(2)/25)*Calculateur!GH158*Calculateur!GJ158*VLOOKUP('Données projet'!$B$17,Paramètres!$A$1:$I$89,3,0)*0.475*44/12</f>
        <v>0</v>
      </c>
      <c r="GN158" s="23">
        <f>EXP(-LN(2)/2)*GN157+(1-EXP(-LN(2)/2))/(LN(2)/2)*GH158*GK158*VLOOKUP('Données projet'!$B$17,Paramètres!$A$1:$I$89,3,0)*0.475*44/12</f>
        <v>0</v>
      </c>
      <c r="GO158" s="23">
        <f t="shared" si="187"/>
        <v>0</v>
      </c>
      <c r="GP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68.012344375524464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1.1368683772161603E-13</v>
      </c>
      <c r="GV158" s="18">
        <f>GU158*VLOOKUP('Données projet'!$B$18,Paramètres!$A$1:$I$89,3,0)*VLOOKUP('Données projet'!$B$18,Paramètres!$A$1:$I$89,5,0)</f>
        <v>7.626113074366004E-14</v>
      </c>
      <c r="GW158" s="14">
        <f t="shared" si="188"/>
        <v>1.1823749172251317E-12</v>
      </c>
      <c r="GX158" s="22">
        <f t="shared" si="189"/>
        <v>2.1921244502123119E-12</v>
      </c>
      <c r="GY158" s="62">
        <f t="shared" si="137"/>
        <v>286.04526271025861</v>
      </c>
      <c r="GZ158" s="62">
        <f ca="1">AVERAGE(OFFSET($GY$3,0,0,'Données projet'!$E$18+1,1))-AVERAGE(OFFSET($H$3,0,0,'Données projet'!$E$18+1,1))</f>
        <v>254.35742752782755</v>
      </c>
      <c r="HA158" s="62">
        <f t="shared" si="160"/>
        <v>171.79611712137395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>
        <f>EXP(-LN(2)/35)*HG157+(1-EXP(-LN(2)/35))/(LN(2)/35)*HC158*HD158*VLOOKUP('Données projet'!$B$18,Paramètres!$A$1:$I$89,3,0)*0.475*44/12</f>
        <v>0</v>
      </c>
      <c r="HH158" s="23">
        <f>EXP(-LN(2)/25)*HH157+(1-EXP(-LN(2)/25))/(LN(2)/25)*Calculateur!HC158*Calculateur!HE158*VLOOKUP('Données projet'!$B$18,Paramètres!$A$1:$I$89,3,0)*0.475*44/12</f>
        <v>0</v>
      </c>
      <c r="HI158" s="23">
        <f>EXP(-LN(2)/2)*HI157+(1-EXP(-LN(2)/2))/(LN(2)/2)*HC158*HF158*VLOOKUP('Données projet'!$B$18,Paramètres!$A$1:$I$89,3,0)*0.475*44/12</f>
        <v>0</v>
      </c>
      <c r="HJ158" s="24">
        <f t="shared" si="190"/>
        <v>0</v>
      </c>
    </row>
    <row r="159" spans="1:218" x14ac:dyDescent="0.3">
      <c r="A159" s="11">
        <f t="shared" si="161"/>
        <v>156</v>
      </c>
      <c r="B159" s="76">
        <f>'Scénario référence'!$B$16*5+'Scénario référence'!$B$17*0+'Scénario référence'!$B$18*5</f>
        <v>3.9405000000000001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14.448500000000001</v>
      </c>
      <c r="H159" s="69">
        <f t="shared" si="110"/>
        <v>161.30656666666667</v>
      </c>
      <c r="I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68.046825756876856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210.54472399593521</v>
      </c>
      <c r="T159" s="62">
        <f t="shared" si="142"/>
        <v>181.14158435194193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68.046825756876856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289.05608923588198</v>
      </c>
      <c r="AO159" s="62">
        <f t="shared" si="144"/>
        <v>220.06639020312738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68.046825756876856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>
        <f>BD159*VLOOKUP('Données projet'!$B$11,Paramètres!$A$1:$I$89,3,0)*VLOOKUP('Données projet'!$B$11,Paramètres!$A$1:$I$89,5,0)</f>
        <v>0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299.54950406029354</v>
      </c>
      <c r="BJ159" s="62">
        <f t="shared" si="146"/>
        <v>208.26364698165739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68.046825756876856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>
        <f>BY159*VLOOKUP('Données projet'!$B$12,Paramètres!$A$1:$I$89,3,0)*VLOOKUP('Données projet'!$B$12,Paramètres!$A$1:$I$89,5,0)</f>
        <v>0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441.30518831297212</v>
      </c>
      <c r="CE159" s="62">
        <f t="shared" si="148"/>
        <v>270.42872405271851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68.046825756876856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-1.1368683772161603E-13</v>
      </c>
      <c r="CU159" s="18">
        <f>CT159*VLOOKUP('Données projet'!$B$13,Paramètres!$A$1:$I$89,3,0)*VLOOKUP('Données projet'!$B$13,Paramètres!$A$1:$I$89,5,0)</f>
        <v>-9.9316821433603781E-14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310.81258463659196</v>
      </c>
      <c r="CZ159" s="62">
        <f t="shared" si="150"/>
        <v>287.31099756692083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68.046825756876856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>
        <f>DO159*VLOOKUP('Données projet'!$B$14,Paramètres!$A$1:$I$89,3,0)*VLOOKUP('Données projet'!$B$14,Paramètres!$A$1:$I$89,5,0)</f>
        <v>0</v>
      </c>
      <c r="DQ159" s="14" t="e">
        <f t="shared" si="176"/>
        <v>#NUM!</v>
      </c>
      <c r="DR159" s="22" t="e">
        <f t="shared" si="177"/>
        <v>#NUM!</v>
      </c>
      <c r="DS159" s="62" t="e">
        <f t="shared" si="125"/>
        <v>#NUM!</v>
      </c>
      <c r="DT159" s="62">
        <f ca="1">AVERAGE(OFFSET($DS$3,0,0,'Données projet'!$E$14+1,1))-AVERAGE(OFFSET($H$3,0,0,'Données projet'!$E$14+1,1))</f>
        <v>431.19274104373625</v>
      </c>
      <c r="DU159" s="62">
        <f t="shared" si="152"/>
        <v>264.67919175178133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68.046825756876856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-6.2527760746888816E-13</v>
      </c>
      <c r="EK159" s="18">
        <f>EJ159*VLOOKUP('Données projet'!$B$15,Paramètres!$A$1:$I$89,3,0)*VLOOKUP('Données projet'!$B$15,Paramètres!$A$1:$I$89,5,0)</f>
        <v>-2.9262992029543964E-13</v>
      </c>
      <c r="EL159" s="14" t="e">
        <f t="shared" si="179"/>
        <v>#NUM!</v>
      </c>
      <c r="EM159" s="22" t="e">
        <f t="shared" si="180"/>
        <v>#NUM!</v>
      </c>
      <c r="EN159" s="62" t="e">
        <f t="shared" si="128"/>
        <v>#NUM!</v>
      </c>
      <c r="EO159" s="62">
        <f ca="1">AVERAGE(OFFSET($EN$3,0,0,'Données projet'!$E$15+1,1))-AVERAGE(OFFSET($H$3,0,0,'Données projet'!$E$15+1,1))</f>
        <v>291.68530745507815</v>
      </c>
      <c r="EP159" s="62">
        <f t="shared" si="154"/>
        <v>175.95121106728979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0</v>
      </c>
      <c r="EZ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68.046825756876856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-1.1368683772161603E-13</v>
      </c>
      <c r="FF159" s="18">
        <f>FE159*VLOOKUP('Données projet'!$B$16,Paramètres!$A$1:$I$89,3,0)*VLOOKUP('Données projet'!$B$16,Paramètres!$A$1:$I$89,5,0)</f>
        <v>-7.4487616075202823E-14</v>
      </c>
      <c r="FG159" s="14" t="e">
        <f t="shared" si="182"/>
        <v>#NUM!</v>
      </c>
      <c r="FH159" s="22" t="e">
        <f t="shared" si="183"/>
        <v>#NUM!</v>
      </c>
      <c r="FI159" s="62" t="e">
        <f t="shared" si="131"/>
        <v>#NUM!</v>
      </c>
      <c r="FJ159" s="62">
        <f ca="1">AVERAGE(OFFSET($FI$3,0,0,'Données projet'!$E$16+1,1))-AVERAGE(OFFSET($H$3,0,0,'Données projet'!$E$16+1,1))</f>
        <v>248.75689726928428</v>
      </c>
      <c r="FK159" s="62">
        <f t="shared" si="156"/>
        <v>232.02291680388336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projet'!$B$16,Paramètres!$A$1:$I$89,3,0)*0.475*44/12</f>
        <v>0</v>
      </c>
      <c r="FR159" s="23">
        <f>EXP(-LN(2)/25)*FR158+(1-EXP(-LN(2)/25))/(LN(2)/25)*Calculateur!FM159*Calculateur!FO159*VLOOKUP('Données projet'!$B$16,Paramètres!$A$1:$I$89,3,0)*0.475*44/12</f>
        <v>0</v>
      </c>
      <c r="FS159" s="23">
        <f>EXP(-LN(2)/2)*FS158+(1-EXP(-LN(2)/2))/(LN(2)/2)*FM159*FP159*VLOOKUP('Données projet'!$B$16,Paramètres!$A$1:$I$89,3,0)*0.475*44/12</f>
        <v>0</v>
      </c>
      <c r="FT159" s="24">
        <f t="shared" si="184"/>
        <v>0</v>
      </c>
      <c r="FU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68.046825756876856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5.1159076974727213E-13</v>
      </c>
      <c r="GA159" s="18">
        <f>FZ159*VLOOKUP('Données projet'!$B$17,Paramètres!$A$1:$I$89,3,0)*VLOOKUP('Données projet'!$B$17,Paramètres!$A$1:$I$89,5,0)</f>
        <v>3.0593128030886877E-13</v>
      </c>
      <c r="GB159" s="14">
        <f t="shared" si="185"/>
        <v>4.0350537939347394E-12</v>
      </c>
      <c r="GC159" s="22">
        <f t="shared" si="186"/>
        <v>7.5605490043076185E-12</v>
      </c>
      <c r="GD159" s="62">
        <f t="shared" si="134"/>
        <v>286.17169444188937</v>
      </c>
      <c r="GE159" s="62">
        <f ca="1">AVERAGE(OFFSET($GD$3,0,0,'Données projet'!$E$17+1,1))-AVERAGE(OFFSET($H$3,0,0,'Données projet'!$E$17+1,1))</f>
        <v>315.909549580511</v>
      </c>
      <c r="GF159" s="62">
        <f t="shared" si="158"/>
        <v>208.56856525402051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projet'!$B$17,Paramètres!$A$1:$I$89,3,0)*0.475*44/12</f>
        <v>0</v>
      </c>
      <c r="GM159" s="23">
        <f>EXP(-LN(2)/25)*GM158+(1-EXP(-LN(2)/25))/(LN(2)/25)*Calculateur!GH159*Calculateur!GJ159*VLOOKUP('Données projet'!$B$17,Paramètres!$A$1:$I$89,3,0)*0.475*44/12</f>
        <v>0</v>
      </c>
      <c r="GN159" s="23">
        <f>EXP(-LN(2)/2)*GN158+(1-EXP(-LN(2)/2))/(LN(2)/2)*GH159*GK159*VLOOKUP('Données projet'!$B$17,Paramètres!$A$1:$I$89,3,0)*0.475*44/12</f>
        <v>0</v>
      </c>
      <c r="GO159" s="23">
        <f t="shared" si="187"/>
        <v>0</v>
      </c>
      <c r="GP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68.046825756876856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1.1368683772161603E-13</v>
      </c>
      <c r="GV159" s="18">
        <f>GU159*VLOOKUP('Données projet'!$B$18,Paramètres!$A$1:$I$89,3,0)*VLOOKUP('Données projet'!$B$18,Paramètres!$A$1:$I$89,5,0)</f>
        <v>7.626113074366004E-14</v>
      </c>
      <c r="GW159" s="14">
        <f t="shared" si="188"/>
        <v>1.1823749172251317E-12</v>
      </c>
      <c r="GX159" s="22">
        <f t="shared" si="189"/>
        <v>2.1921244502123119E-12</v>
      </c>
      <c r="GY159" s="62">
        <f t="shared" si="137"/>
        <v>286.17169444188403</v>
      </c>
      <c r="GZ159" s="62">
        <f ca="1">AVERAGE(OFFSET($GY$3,0,0,'Données projet'!$E$18+1,1))-AVERAGE(OFFSET($H$3,0,0,'Données projet'!$E$18+1,1))</f>
        <v>254.35742752782755</v>
      </c>
      <c r="HA159" s="62">
        <f t="shared" si="160"/>
        <v>171.79611712137395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>
        <f>EXP(-LN(2)/35)*HG158+(1-EXP(-LN(2)/35))/(LN(2)/35)*HC159*HD159*VLOOKUP('Données projet'!$B$18,Paramètres!$A$1:$I$89,3,0)*0.475*44/12</f>
        <v>0</v>
      </c>
      <c r="HH159" s="23">
        <f>EXP(-LN(2)/25)*HH158+(1-EXP(-LN(2)/25))/(LN(2)/25)*Calculateur!HC159*Calculateur!HE159*VLOOKUP('Données projet'!$B$18,Paramètres!$A$1:$I$89,3,0)*0.475*44/12</f>
        <v>0</v>
      </c>
      <c r="HI159" s="23">
        <f>EXP(-LN(2)/2)*HI158+(1-EXP(-LN(2)/2))/(LN(2)/2)*HC159*HF159*VLOOKUP('Données projet'!$B$18,Paramètres!$A$1:$I$89,3,0)*0.475*44/12</f>
        <v>0</v>
      </c>
      <c r="HJ159" s="24">
        <f t="shared" si="190"/>
        <v>0</v>
      </c>
    </row>
    <row r="160" spans="1:218" x14ac:dyDescent="0.3">
      <c r="A160" s="11">
        <f t="shared" si="161"/>
        <v>157</v>
      </c>
      <c r="B160" s="76">
        <f>'Scénario référence'!$B$16*5+'Scénario référence'!$B$17*0+'Scénario référence'!$B$18*5</f>
        <v>3.9405000000000001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14.448500000000001</v>
      </c>
      <c r="H160" s="69">
        <f t="shared" si="110"/>
        <v>161.30656666666667</v>
      </c>
      <c r="I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68.080708963351597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210.54472399593521</v>
      </c>
      <c r="T160" s="62">
        <f t="shared" si="142"/>
        <v>181.14158435194193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68.080708963351597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289.05608923588198</v>
      </c>
      <c r="AO160" s="62">
        <f t="shared" si="144"/>
        <v>220.06639020312738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68.080708963351597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>
        <f>BD160*VLOOKUP('Données projet'!$B$11,Paramètres!$A$1:$I$89,3,0)*VLOOKUP('Données projet'!$B$11,Paramètres!$A$1:$I$89,5,0)</f>
        <v>0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299.54950406029354</v>
      </c>
      <c r="BJ160" s="62">
        <f t="shared" si="146"/>
        <v>208.26364698165739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68.080708963351597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>
        <f>BY160*VLOOKUP('Données projet'!$B$12,Paramètres!$A$1:$I$89,3,0)*VLOOKUP('Données projet'!$B$12,Paramètres!$A$1:$I$89,5,0)</f>
        <v>0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441.30518831297212</v>
      </c>
      <c r="CE160" s="62">
        <f t="shared" si="148"/>
        <v>270.42872405271851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68.080708963351597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-1.1368683772161603E-13</v>
      </c>
      <c r="CU160" s="18">
        <f>CT160*VLOOKUP('Données projet'!$B$13,Paramètres!$A$1:$I$89,3,0)*VLOOKUP('Données projet'!$B$13,Paramètres!$A$1:$I$89,5,0)</f>
        <v>-9.9316821433603781E-14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310.81258463659196</v>
      </c>
      <c r="CZ160" s="62">
        <f t="shared" si="150"/>
        <v>287.31099756692083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68.080708963351597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>
        <f>DO160*VLOOKUP('Données projet'!$B$14,Paramètres!$A$1:$I$89,3,0)*VLOOKUP('Données projet'!$B$14,Paramètres!$A$1:$I$89,5,0)</f>
        <v>0</v>
      </c>
      <c r="DQ160" s="14" t="e">
        <f t="shared" si="176"/>
        <v>#NUM!</v>
      </c>
      <c r="DR160" s="22" t="e">
        <f t="shared" si="177"/>
        <v>#NUM!</v>
      </c>
      <c r="DS160" s="62" t="e">
        <f t="shared" si="125"/>
        <v>#NUM!</v>
      </c>
      <c r="DT160" s="62">
        <f ca="1">AVERAGE(OFFSET($DS$3,0,0,'Données projet'!$E$14+1,1))-AVERAGE(OFFSET($H$3,0,0,'Données projet'!$E$14+1,1))</f>
        <v>431.19274104373625</v>
      </c>
      <c r="DU160" s="62">
        <f t="shared" si="152"/>
        <v>264.67919175178133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68.080708963351597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-6.2527760746888816E-13</v>
      </c>
      <c r="EK160" s="18">
        <f>EJ160*VLOOKUP('Données projet'!$B$15,Paramètres!$A$1:$I$89,3,0)*VLOOKUP('Données projet'!$B$15,Paramètres!$A$1:$I$89,5,0)</f>
        <v>-2.9262992029543964E-13</v>
      </c>
      <c r="EL160" s="14" t="e">
        <f t="shared" si="179"/>
        <v>#NUM!</v>
      </c>
      <c r="EM160" s="22" t="e">
        <f t="shared" si="180"/>
        <v>#NUM!</v>
      </c>
      <c r="EN160" s="62" t="e">
        <f t="shared" si="128"/>
        <v>#NUM!</v>
      </c>
      <c r="EO160" s="62">
        <f ca="1">AVERAGE(OFFSET($EN$3,0,0,'Données projet'!$E$15+1,1))-AVERAGE(OFFSET($H$3,0,0,'Données projet'!$E$15+1,1))</f>
        <v>291.68530745507815</v>
      </c>
      <c r="EP160" s="62">
        <f t="shared" si="154"/>
        <v>175.95121106728979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0</v>
      </c>
      <c r="EZ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68.080708963351597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-1.1368683772161603E-13</v>
      </c>
      <c r="FF160" s="18">
        <f>FE160*VLOOKUP('Données projet'!$B$16,Paramètres!$A$1:$I$89,3,0)*VLOOKUP('Données projet'!$B$16,Paramètres!$A$1:$I$89,5,0)</f>
        <v>-7.4487616075202823E-14</v>
      </c>
      <c r="FG160" s="14" t="e">
        <f t="shared" si="182"/>
        <v>#NUM!</v>
      </c>
      <c r="FH160" s="22" t="e">
        <f t="shared" si="183"/>
        <v>#NUM!</v>
      </c>
      <c r="FI160" s="62" t="e">
        <f t="shared" si="131"/>
        <v>#NUM!</v>
      </c>
      <c r="FJ160" s="62">
        <f ca="1">AVERAGE(OFFSET($FI$3,0,0,'Données projet'!$E$16+1,1))-AVERAGE(OFFSET($H$3,0,0,'Données projet'!$E$16+1,1))</f>
        <v>248.75689726928428</v>
      </c>
      <c r="FK160" s="62">
        <f t="shared" si="156"/>
        <v>232.02291680388336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projet'!$B$16,Paramètres!$A$1:$I$89,3,0)*0.475*44/12</f>
        <v>0</v>
      </c>
      <c r="FR160" s="23">
        <f>EXP(-LN(2)/25)*FR159+(1-EXP(-LN(2)/25))/(LN(2)/25)*Calculateur!FM160*Calculateur!FO160*VLOOKUP('Données projet'!$B$16,Paramètres!$A$1:$I$89,3,0)*0.475*44/12</f>
        <v>0</v>
      </c>
      <c r="FS160" s="23">
        <f>EXP(-LN(2)/2)*FS159+(1-EXP(-LN(2)/2))/(LN(2)/2)*FM160*FP160*VLOOKUP('Données projet'!$B$16,Paramètres!$A$1:$I$89,3,0)*0.475*44/12</f>
        <v>0</v>
      </c>
      <c r="FT160" s="24">
        <f t="shared" si="184"/>
        <v>0</v>
      </c>
      <c r="FU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68.080708963351597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5.1159076974727213E-13</v>
      </c>
      <c r="GA160" s="18">
        <f>FZ160*VLOOKUP('Données projet'!$B$17,Paramètres!$A$1:$I$89,3,0)*VLOOKUP('Données projet'!$B$17,Paramètres!$A$1:$I$89,5,0)</f>
        <v>3.0593128030886877E-13</v>
      </c>
      <c r="GB160" s="14">
        <f t="shared" si="185"/>
        <v>4.0350537939347394E-12</v>
      </c>
      <c r="GC160" s="22">
        <f t="shared" si="186"/>
        <v>7.5605490043076185E-12</v>
      </c>
      <c r="GD160" s="62">
        <f t="shared" si="134"/>
        <v>286.29593286563011</v>
      </c>
      <c r="GE160" s="62">
        <f ca="1">AVERAGE(OFFSET($GD$3,0,0,'Données projet'!$E$17+1,1))-AVERAGE(OFFSET($H$3,0,0,'Données projet'!$E$17+1,1))</f>
        <v>315.909549580511</v>
      </c>
      <c r="GF160" s="62">
        <f t="shared" si="158"/>
        <v>208.56856525402051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projet'!$B$17,Paramètres!$A$1:$I$89,3,0)*0.475*44/12</f>
        <v>0</v>
      </c>
      <c r="GM160" s="23">
        <f>EXP(-LN(2)/25)*GM159+(1-EXP(-LN(2)/25))/(LN(2)/25)*Calculateur!GH160*Calculateur!GJ160*VLOOKUP('Données projet'!$B$17,Paramètres!$A$1:$I$89,3,0)*0.475*44/12</f>
        <v>0</v>
      </c>
      <c r="GN160" s="23">
        <f>EXP(-LN(2)/2)*GN159+(1-EXP(-LN(2)/2))/(LN(2)/2)*GH160*GK160*VLOOKUP('Données projet'!$B$17,Paramètres!$A$1:$I$89,3,0)*0.475*44/12</f>
        <v>0</v>
      </c>
      <c r="GO160" s="23">
        <f t="shared" si="187"/>
        <v>0</v>
      </c>
      <c r="GP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68.080708963351597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1.1368683772161603E-13</v>
      </c>
      <c r="GV160" s="18">
        <f>GU160*VLOOKUP('Données projet'!$B$18,Paramètres!$A$1:$I$89,3,0)*VLOOKUP('Données projet'!$B$18,Paramètres!$A$1:$I$89,5,0)</f>
        <v>7.626113074366004E-14</v>
      </c>
      <c r="GW160" s="14">
        <f t="shared" si="188"/>
        <v>1.1823749172251317E-12</v>
      </c>
      <c r="GX160" s="22">
        <f t="shared" si="189"/>
        <v>2.1921244502123119E-12</v>
      </c>
      <c r="GY160" s="62">
        <f t="shared" si="137"/>
        <v>286.29593286562476</v>
      </c>
      <c r="GZ160" s="62">
        <f ca="1">AVERAGE(OFFSET($GY$3,0,0,'Données projet'!$E$18+1,1))-AVERAGE(OFFSET($H$3,0,0,'Données projet'!$E$18+1,1))</f>
        <v>254.35742752782755</v>
      </c>
      <c r="HA160" s="62">
        <f t="shared" si="160"/>
        <v>171.79611712137395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>
        <f>EXP(-LN(2)/35)*HG159+(1-EXP(-LN(2)/35))/(LN(2)/35)*HC160*HD160*VLOOKUP('Données projet'!$B$18,Paramètres!$A$1:$I$89,3,0)*0.475*44/12</f>
        <v>0</v>
      </c>
      <c r="HH160" s="23">
        <f>EXP(-LN(2)/25)*HH159+(1-EXP(-LN(2)/25))/(LN(2)/25)*Calculateur!HC160*Calculateur!HE160*VLOOKUP('Données projet'!$B$18,Paramètres!$A$1:$I$89,3,0)*0.475*44/12</f>
        <v>0</v>
      </c>
      <c r="HI160" s="23">
        <f>EXP(-LN(2)/2)*HI159+(1-EXP(-LN(2)/2))/(LN(2)/2)*HC160*HF160*VLOOKUP('Données projet'!$B$18,Paramètres!$A$1:$I$89,3,0)*0.475*44/12</f>
        <v>0</v>
      </c>
      <c r="HJ160" s="24">
        <f t="shared" si="190"/>
        <v>0</v>
      </c>
    </row>
    <row r="161" spans="1:218" x14ac:dyDescent="0.3">
      <c r="A161" s="11">
        <f t="shared" si="161"/>
        <v>158</v>
      </c>
      <c r="B161" s="76">
        <f>'Scénario référence'!$B$16*5+'Scénario référence'!$B$17*0+'Scénario référence'!$B$18*5</f>
        <v>3.9405000000000001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14.448500000000001</v>
      </c>
      <c r="H161" s="69">
        <f t="shared" si="110"/>
        <v>161.30656666666667</v>
      </c>
      <c r="I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68.114004371945512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210.54472399593521</v>
      </c>
      <c r="T161" s="62">
        <f t="shared" si="142"/>
        <v>181.14158435194193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68.114004371945512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289.05608923588198</v>
      </c>
      <c r="AO161" s="62">
        <f t="shared" si="144"/>
        <v>220.06639020312738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68.114004371945512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>
        <f>BD161*VLOOKUP('Données projet'!$B$11,Paramètres!$A$1:$I$89,3,0)*VLOOKUP('Données projet'!$B$11,Paramètres!$A$1:$I$89,5,0)</f>
        <v>0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299.54950406029354</v>
      </c>
      <c r="BJ161" s="62">
        <f t="shared" si="146"/>
        <v>208.26364698165739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68.114004371945512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>
        <f>BY161*VLOOKUP('Données projet'!$B$12,Paramètres!$A$1:$I$89,3,0)*VLOOKUP('Données projet'!$B$12,Paramètres!$A$1:$I$89,5,0)</f>
        <v>0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441.30518831297212</v>
      </c>
      <c r="CE161" s="62">
        <f t="shared" si="148"/>
        <v>270.42872405271851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68.114004371945512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-1.1368683772161603E-13</v>
      </c>
      <c r="CU161" s="18">
        <f>CT161*VLOOKUP('Données projet'!$B$13,Paramètres!$A$1:$I$89,3,0)*VLOOKUP('Données projet'!$B$13,Paramètres!$A$1:$I$89,5,0)</f>
        <v>-9.9316821433603781E-14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310.81258463659196</v>
      </c>
      <c r="CZ161" s="62">
        <f t="shared" si="150"/>
        <v>287.31099756692083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68.114004371945512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>
        <f>DO161*VLOOKUP('Données projet'!$B$14,Paramètres!$A$1:$I$89,3,0)*VLOOKUP('Données projet'!$B$14,Paramètres!$A$1:$I$89,5,0)</f>
        <v>0</v>
      </c>
      <c r="DQ161" s="14" t="e">
        <f t="shared" si="176"/>
        <v>#NUM!</v>
      </c>
      <c r="DR161" s="22" t="e">
        <f t="shared" si="177"/>
        <v>#NUM!</v>
      </c>
      <c r="DS161" s="62" t="e">
        <f t="shared" si="125"/>
        <v>#NUM!</v>
      </c>
      <c r="DT161" s="62">
        <f ca="1">AVERAGE(OFFSET($DS$3,0,0,'Données projet'!$E$14+1,1))-AVERAGE(OFFSET($H$3,0,0,'Données projet'!$E$14+1,1))</f>
        <v>431.19274104373625</v>
      </c>
      <c r="DU161" s="62">
        <f t="shared" si="152"/>
        <v>264.67919175178133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68.114004371945512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-6.2527760746888816E-13</v>
      </c>
      <c r="EK161" s="18">
        <f>EJ161*VLOOKUP('Données projet'!$B$15,Paramètres!$A$1:$I$89,3,0)*VLOOKUP('Données projet'!$B$15,Paramètres!$A$1:$I$89,5,0)</f>
        <v>-2.9262992029543964E-13</v>
      </c>
      <c r="EL161" s="14" t="e">
        <f t="shared" si="179"/>
        <v>#NUM!</v>
      </c>
      <c r="EM161" s="22" t="e">
        <f t="shared" si="180"/>
        <v>#NUM!</v>
      </c>
      <c r="EN161" s="62" t="e">
        <f t="shared" si="128"/>
        <v>#NUM!</v>
      </c>
      <c r="EO161" s="62">
        <f ca="1">AVERAGE(OFFSET($EN$3,0,0,'Données projet'!$E$15+1,1))-AVERAGE(OFFSET($H$3,0,0,'Données projet'!$E$15+1,1))</f>
        <v>291.68530745507815</v>
      </c>
      <c r="EP161" s="62">
        <f t="shared" si="154"/>
        <v>175.95121106728979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0</v>
      </c>
      <c r="EZ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68.114004371945512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-1.1368683772161603E-13</v>
      </c>
      <c r="FF161" s="18">
        <f>FE161*VLOOKUP('Données projet'!$B$16,Paramètres!$A$1:$I$89,3,0)*VLOOKUP('Données projet'!$B$16,Paramètres!$A$1:$I$89,5,0)</f>
        <v>-7.4487616075202823E-14</v>
      </c>
      <c r="FG161" s="14" t="e">
        <f t="shared" si="182"/>
        <v>#NUM!</v>
      </c>
      <c r="FH161" s="22" t="e">
        <f t="shared" si="183"/>
        <v>#NUM!</v>
      </c>
      <c r="FI161" s="62" t="e">
        <f t="shared" si="131"/>
        <v>#NUM!</v>
      </c>
      <c r="FJ161" s="62">
        <f ca="1">AVERAGE(OFFSET($FI$3,0,0,'Données projet'!$E$16+1,1))-AVERAGE(OFFSET($H$3,0,0,'Données projet'!$E$16+1,1))</f>
        <v>248.75689726928428</v>
      </c>
      <c r="FK161" s="62">
        <f t="shared" si="156"/>
        <v>232.02291680388336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projet'!$B$16,Paramètres!$A$1:$I$89,3,0)*0.475*44/12</f>
        <v>0</v>
      </c>
      <c r="FR161" s="23">
        <f>EXP(-LN(2)/25)*FR160+(1-EXP(-LN(2)/25))/(LN(2)/25)*Calculateur!FM161*Calculateur!FO161*VLOOKUP('Données projet'!$B$16,Paramètres!$A$1:$I$89,3,0)*0.475*44/12</f>
        <v>0</v>
      </c>
      <c r="FS161" s="23">
        <f>EXP(-LN(2)/2)*FS160+(1-EXP(-LN(2)/2))/(LN(2)/2)*FM161*FP161*VLOOKUP('Données projet'!$B$16,Paramètres!$A$1:$I$89,3,0)*0.475*44/12</f>
        <v>0</v>
      </c>
      <c r="FT161" s="24">
        <f t="shared" si="184"/>
        <v>0</v>
      </c>
      <c r="FU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68.114004371945512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5.1159076974727213E-13</v>
      </c>
      <c r="GA161" s="18">
        <f>FZ161*VLOOKUP('Données projet'!$B$17,Paramètres!$A$1:$I$89,3,0)*VLOOKUP('Données projet'!$B$17,Paramètres!$A$1:$I$89,5,0)</f>
        <v>3.0593128030886877E-13</v>
      </c>
      <c r="GB161" s="14">
        <f t="shared" si="185"/>
        <v>4.0350537939347394E-12</v>
      </c>
      <c r="GC161" s="22">
        <f t="shared" si="186"/>
        <v>7.5605490043076185E-12</v>
      </c>
      <c r="GD161" s="62">
        <f t="shared" si="134"/>
        <v>286.4180160304744</v>
      </c>
      <c r="GE161" s="62">
        <f ca="1">AVERAGE(OFFSET($GD$3,0,0,'Données projet'!$E$17+1,1))-AVERAGE(OFFSET($H$3,0,0,'Données projet'!$E$17+1,1))</f>
        <v>315.909549580511</v>
      </c>
      <c r="GF161" s="62">
        <f t="shared" si="158"/>
        <v>208.56856525402051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projet'!$B$17,Paramètres!$A$1:$I$89,3,0)*0.475*44/12</f>
        <v>0</v>
      </c>
      <c r="GM161" s="23">
        <f>EXP(-LN(2)/25)*GM160+(1-EXP(-LN(2)/25))/(LN(2)/25)*Calculateur!GH161*Calculateur!GJ161*VLOOKUP('Données projet'!$B$17,Paramètres!$A$1:$I$89,3,0)*0.475*44/12</f>
        <v>0</v>
      </c>
      <c r="GN161" s="23">
        <f>EXP(-LN(2)/2)*GN160+(1-EXP(-LN(2)/2))/(LN(2)/2)*GH161*GK161*VLOOKUP('Données projet'!$B$17,Paramètres!$A$1:$I$89,3,0)*0.475*44/12</f>
        <v>0</v>
      </c>
      <c r="GO161" s="23">
        <f t="shared" si="187"/>
        <v>0</v>
      </c>
      <c r="GP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68.114004371945512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1.1368683772161603E-13</v>
      </c>
      <c r="GV161" s="18">
        <f>GU161*VLOOKUP('Données projet'!$B$18,Paramètres!$A$1:$I$89,3,0)*VLOOKUP('Données projet'!$B$18,Paramètres!$A$1:$I$89,5,0)</f>
        <v>7.626113074366004E-14</v>
      </c>
      <c r="GW161" s="14">
        <f t="shared" si="188"/>
        <v>1.1823749172251317E-12</v>
      </c>
      <c r="GX161" s="22">
        <f t="shared" si="189"/>
        <v>2.1921244502123119E-12</v>
      </c>
      <c r="GY161" s="62">
        <f t="shared" si="137"/>
        <v>286.41801603046906</v>
      </c>
      <c r="GZ161" s="62">
        <f ca="1">AVERAGE(OFFSET($GY$3,0,0,'Données projet'!$E$18+1,1))-AVERAGE(OFFSET($H$3,0,0,'Données projet'!$E$18+1,1))</f>
        <v>254.35742752782755</v>
      </c>
      <c r="HA161" s="62">
        <f t="shared" si="160"/>
        <v>171.79611712137395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>
        <f>EXP(-LN(2)/35)*HG160+(1-EXP(-LN(2)/35))/(LN(2)/35)*HC161*HD161*VLOOKUP('Données projet'!$B$18,Paramètres!$A$1:$I$89,3,0)*0.475*44/12</f>
        <v>0</v>
      </c>
      <c r="HH161" s="23">
        <f>EXP(-LN(2)/25)*HH160+(1-EXP(-LN(2)/25))/(LN(2)/25)*Calculateur!HC161*Calculateur!HE161*VLOOKUP('Données projet'!$B$18,Paramètres!$A$1:$I$89,3,0)*0.475*44/12</f>
        <v>0</v>
      </c>
      <c r="HI161" s="23">
        <f>EXP(-LN(2)/2)*HI160+(1-EXP(-LN(2)/2))/(LN(2)/2)*HC161*HF161*VLOOKUP('Données projet'!$B$18,Paramètres!$A$1:$I$89,3,0)*0.475*44/12</f>
        <v>0</v>
      </c>
      <c r="HJ161" s="24">
        <f t="shared" si="190"/>
        <v>0</v>
      </c>
    </row>
    <row r="162" spans="1:218" x14ac:dyDescent="0.3">
      <c r="A162" s="11">
        <f t="shared" si="161"/>
        <v>159</v>
      </c>
      <c r="B162" s="76">
        <f>'Scénario référence'!$B$16*5+'Scénario référence'!$B$17*0+'Scénario référence'!$B$18*5</f>
        <v>3.9405000000000001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14.448500000000001</v>
      </c>
      <c r="H162" s="69">
        <f t="shared" si="110"/>
        <v>161.30656666666667</v>
      </c>
      <c r="I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68.14672217963772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210.54472399593521</v>
      </c>
      <c r="T162" s="62">
        <f t="shared" si="142"/>
        <v>181.14158435194193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68.14672217963772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289.05608923588198</v>
      </c>
      <c r="AO162" s="62">
        <f t="shared" si="144"/>
        <v>220.06639020312738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68.14672217963772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>
        <f>BD162*VLOOKUP('Données projet'!$B$11,Paramètres!$A$1:$I$89,3,0)*VLOOKUP('Données projet'!$B$11,Paramètres!$A$1:$I$89,5,0)</f>
        <v>0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299.54950406029354</v>
      </c>
      <c r="BJ162" s="62">
        <f t="shared" si="146"/>
        <v>208.26364698165739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68.14672217963772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>
        <f>BY162*VLOOKUP('Données projet'!$B$12,Paramètres!$A$1:$I$89,3,0)*VLOOKUP('Données projet'!$B$12,Paramètres!$A$1:$I$89,5,0)</f>
        <v>0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441.30518831297212</v>
      </c>
      <c r="CE162" s="62">
        <f t="shared" si="148"/>
        <v>270.42872405271851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68.14672217963772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-1.1368683772161603E-13</v>
      </c>
      <c r="CU162" s="18">
        <f>CT162*VLOOKUP('Données projet'!$B$13,Paramètres!$A$1:$I$89,3,0)*VLOOKUP('Données projet'!$B$13,Paramètres!$A$1:$I$89,5,0)</f>
        <v>-9.9316821433603781E-14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310.81258463659196</v>
      </c>
      <c r="CZ162" s="62">
        <f t="shared" si="150"/>
        <v>287.31099756692083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68.14672217963772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>
        <f>DO162*VLOOKUP('Données projet'!$B$14,Paramètres!$A$1:$I$89,3,0)*VLOOKUP('Données projet'!$B$14,Paramètres!$A$1:$I$89,5,0)</f>
        <v>0</v>
      </c>
      <c r="DQ162" s="14" t="e">
        <f t="shared" si="176"/>
        <v>#NUM!</v>
      </c>
      <c r="DR162" s="22" t="e">
        <f t="shared" si="177"/>
        <v>#NUM!</v>
      </c>
      <c r="DS162" s="62" t="e">
        <f t="shared" si="125"/>
        <v>#NUM!</v>
      </c>
      <c r="DT162" s="62">
        <f ca="1">AVERAGE(OFFSET($DS$3,0,0,'Données projet'!$E$14+1,1))-AVERAGE(OFFSET($H$3,0,0,'Données projet'!$E$14+1,1))</f>
        <v>431.19274104373625</v>
      </c>
      <c r="DU162" s="62">
        <f t="shared" si="152"/>
        <v>264.67919175178133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68.14672217963772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-6.2527760746888816E-13</v>
      </c>
      <c r="EK162" s="18">
        <f>EJ162*VLOOKUP('Données projet'!$B$15,Paramètres!$A$1:$I$89,3,0)*VLOOKUP('Données projet'!$B$15,Paramètres!$A$1:$I$89,5,0)</f>
        <v>-2.9262992029543964E-13</v>
      </c>
      <c r="EL162" s="14" t="e">
        <f t="shared" si="179"/>
        <v>#NUM!</v>
      </c>
      <c r="EM162" s="22" t="e">
        <f t="shared" si="180"/>
        <v>#NUM!</v>
      </c>
      <c r="EN162" s="62" t="e">
        <f t="shared" si="128"/>
        <v>#NUM!</v>
      </c>
      <c r="EO162" s="62">
        <f ca="1">AVERAGE(OFFSET($EN$3,0,0,'Données projet'!$E$15+1,1))-AVERAGE(OFFSET($H$3,0,0,'Données projet'!$E$15+1,1))</f>
        <v>291.68530745507815</v>
      </c>
      <c r="EP162" s="62">
        <f t="shared" si="154"/>
        <v>175.95121106728979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0</v>
      </c>
      <c r="EZ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68.14672217963772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-1.1368683772161603E-13</v>
      </c>
      <c r="FF162" s="18">
        <f>FE162*VLOOKUP('Données projet'!$B$16,Paramètres!$A$1:$I$89,3,0)*VLOOKUP('Données projet'!$B$16,Paramètres!$A$1:$I$89,5,0)</f>
        <v>-7.4487616075202823E-14</v>
      </c>
      <c r="FG162" s="14" t="e">
        <f t="shared" si="182"/>
        <v>#NUM!</v>
      </c>
      <c r="FH162" s="22" t="e">
        <f t="shared" si="183"/>
        <v>#NUM!</v>
      </c>
      <c r="FI162" s="62" t="e">
        <f t="shared" si="131"/>
        <v>#NUM!</v>
      </c>
      <c r="FJ162" s="62">
        <f ca="1">AVERAGE(OFFSET($FI$3,0,0,'Données projet'!$E$16+1,1))-AVERAGE(OFFSET($H$3,0,0,'Données projet'!$E$16+1,1))</f>
        <v>248.75689726928428</v>
      </c>
      <c r="FK162" s="62">
        <f t="shared" si="156"/>
        <v>232.02291680388336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projet'!$B$16,Paramètres!$A$1:$I$89,3,0)*0.475*44/12</f>
        <v>0</v>
      </c>
      <c r="FR162" s="23">
        <f>EXP(-LN(2)/25)*FR161+(1-EXP(-LN(2)/25))/(LN(2)/25)*Calculateur!FM162*Calculateur!FO162*VLOOKUP('Données projet'!$B$16,Paramètres!$A$1:$I$89,3,0)*0.475*44/12</f>
        <v>0</v>
      </c>
      <c r="FS162" s="23">
        <f>EXP(-LN(2)/2)*FS161+(1-EXP(-LN(2)/2))/(LN(2)/2)*FM162*FP162*VLOOKUP('Données projet'!$B$16,Paramètres!$A$1:$I$89,3,0)*0.475*44/12</f>
        <v>0</v>
      </c>
      <c r="FT162" s="24">
        <f t="shared" si="184"/>
        <v>0</v>
      </c>
      <c r="FU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68.14672217963772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5.1159076974727213E-13</v>
      </c>
      <c r="GA162" s="18">
        <f>FZ162*VLOOKUP('Données projet'!$B$17,Paramètres!$A$1:$I$89,3,0)*VLOOKUP('Données projet'!$B$17,Paramètres!$A$1:$I$89,5,0)</f>
        <v>3.0593128030886877E-13</v>
      </c>
      <c r="GB162" s="14">
        <f t="shared" si="185"/>
        <v>4.0350537939347394E-12</v>
      </c>
      <c r="GC162" s="22">
        <f t="shared" si="186"/>
        <v>7.5605490043076185E-12</v>
      </c>
      <c r="GD162" s="62">
        <f t="shared" si="134"/>
        <v>286.53798132534587</v>
      </c>
      <c r="GE162" s="62">
        <f ca="1">AVERAGE(OFFSET($GD$3,0,0,'Données projet'!$E$17+1,1))-AVERAGE(OFFSET($H$3,0,0,'Données projet'!$E$17+1,1))</f>
        <v>315.909549580511</v>
      </c>
      <c r="GF162" s="62">
        <f t="shared" si="158"/>
        <v>208.56856525402051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projet'!$B$17,Paramètres!$A$1:$I$89,3,0)*0.475*44/12</f>
        <v>0</v>
      </c>
      <c r="GM162" s="23">
        <f>EXP(-LN(2)/25)*GM161+(1-EXP(-LN(2)/25))/(LN(2)/25)*Calculateur!GH162*Calculateur!GJ162*VLOOKUP('Données projet'!$B$17,Paramètres!$A$1:$I$89,3,0)*0.475*44/12</f>
        <v>0</v>
      </c>
      <c r="GN162" s="23">
        <f>EXP(-LN(2)/2)*GN161+(1-EXP(-LN(2)/2))/(LN(2)/2)*GH162*GK162*VLOOKUP('Données projet'!$B$17,Paramètres!$A$1:$I$89,3,0)*0.475*44/12</f>
        <v>0</v>
      </c>
      <c r="GO162" s="23">
        <f t="shared" si="187"/>
        <v>0</v>
      </c>
      <c r="GP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68.14672217963772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1.1368683772161603E-13</v>
      </c>
      <c r="GV162" s="18">
        <f>GU162*VLOOKUP('Données projet'!$B$18,Paramètres!$A$1:$I$89,3,0)*VLOOKUP('Données projet'!$B$18,Paramètres!$A$1:$I$89,5,0)</f>
        <v>7.626113074366004E-14</v>
      </c>
      <c r="GW162" s="14">
        <f t="shared" si="188"/>
        <v>1.1823749172251317E-12</v>
      </c>
      <c r="GX162" s="22">
        <f t="shared" si="189"/>
        <v>2.1921244502123119E-12</v>
      </c>
      <c r="GY162" s="62">
        <f t="shared" si="137"/>
        <v>286.53798132534052</v>
      </c>
      <c r="GZ162" s="62">
        <f ca="1">AVERAGE(OFFSET($GY$3,0,0,'Données projet'!$E$18+1,1))-AVERAGE(OFFSET($H$3,0,0,'Données projet'!$E$18+1,1))</f>
        <v>254.35742752782755</v>
      </c>
      <c r="HA162" s="62">
        <f t="shared" si="160"/>
        <v>171.79611712137395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>
        <f>EXP(-LN(2)/35)*HG161+(1-EXP(-LN(2)/35))/(LN(2)/35)*HC162*HD162*VLOOKUP('Données projet'!$B$18,Paramètres!$A$1:$I$89,3,0)*0.475*44/12</f>
        <v>0</v>
      </c>
      <c r="HH162" s="23">
        <f>EXP(-LN(2)/25)*HH161+(1-EXP(-LN(2)/25))/(LN(2)/25)*Calculateur!HC162*Calculateur!HE162*VLOOKUP('Données projet'!$B$18,Paramètres!$A$1:$I$89,3,0)*0.475*44/12</f>
        <v>0</v>
      </c>
      <c r="HI162" s="23">
        <f>EXP(-LN(2)/2)*HI161+(1-EXP(-LN(2)/2))/(LN(2)/2)*HC162*HF162*VLOOKUP('Données projet'!$B$18,Paramètres!$A$1:$I$89,3,0)*0.475*44/12</f>
        <v>0</v>
      </c>
      <c r="HJ162" s="24">
        <f t="shared" si="190"/>
        <v>0</v>
      </c>
    </row>
    <row r="163" spans="1:218" x14ac:dyDescent="0.3">
      <c r="A163" s="11">
        <f t="shared" si="161"/>
        <v>160</v>
      </c>
      <c r="B163" s="76">
        <f>'Scénario référence'!$B$16*5+'Scénario référence'!$B$17*0+'Scénario référence'!$B$18*5</f>
        <v>3.9405000000000001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14.448500000000001</v>
      </c>
      <c r="H163" s="69">
        <f t="shared" si="110"/>
        <v>161.30656666666667</v>
      </c>
      <c r="I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68.178872406512497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210.54472399593521</v>
      </c>
      <c r="T163" s="62">
        <f t="shared" si="142"/>
        <v>181.14158435194193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68.178872406512497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289.05608923588198</v>
      </c>
      <c r="AO163" s="62">
        <f t="shared" si="144"/>
        <v>220.06639020312738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68.178872406512497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>
        <f>BD163*VLOOKUP('Données projet'!$B$11,Paramètres!$A$1:$I$89,3,0)*VLOOKUP('Données projet'!$B$11,Paramètres!$A$1:$I$89,5,0)</f>
        <v>0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299.54950406029354</v>
      </c>
      <c r="BJ163" s="62">
        <f t="shared" si="146"/>
        <v>208.26364698165739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68.178872406512497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>
        <f>BY163*VLOOKUP('Données projet'!$B$12,Paramètres!$A$1:$I$89,3,0)*VLOOKUP('Données projet'!$B$12,Paramètres!$A$1:$I$89,5,0)</f>
        <v>0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441.30518831297212</v>
      </c>
      <c r="CE163" s="62">
        <f t="shared" si="148"/>
        <v>270.42872405271851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68.178872406512497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-1.1368683772161603E-13</v>
      </c>
      <c r="CU163" s="18">
        <f>CT163*VLOOKUP('Données projet'!$B$13,Paramètres!$A$1:$I$89,3,0)*VLOOKUP('Données projet'!$B$13,Paramètres!$A$1:$I$89,5,0)</f>
        <v>-9.9316821433603781E-14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310.81258463659196</v>
      </c>
      <c r="CZ163" s="62">
        <f t="shared" si="150"/>
        <v>287.31099756692083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68.178872406512497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>
        <f>DO163*VLOOKUP('Données projet'!$B$14,Paramètres!$A$1:$I$89,3,0)*VLOOKUP('Données projet'!$B$14,Paramètres!$A$1:$I$89,5,0)</f>
        <v>0</v>
      </c>
      <c r="DQ163" s="14" t="e">
        <f t="shared" si="176"/>
        <v>#NUM!</v>
      </c>
      <c r="DR163" s="22" t="e">
        <f t="shared" si="177"/>
        <v>#NUM!</v>
      </c>
      <c r="DS163" s="62" t="e">
        <f t="shared" si="125"/>
        <v>#NUM!</v>
      </c>
      <c r="DT163" s="62">
        <f ca="1">AVERAGE(OFFSET($DS$3,0,0,'Données projet'!$E$14+1,1))-AVERAGE(OFFSET($H$3,0,0,'Données projet'!$E$14+1,1))</f>
        <v>431.19274104373625</v>
      </c>
      <c r="DU163" s="62">
        <f t="shared" si="152"/>
        <v>264.67919175178133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68.178872406512497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-6.2527760746888816E-13</v>
      </c>
      <c r="EK163" s="18">
        <f>EJ163*VLOOKUP('Données projet'!$B$15,Paramètres!$A$1:$I$89,3,0)*VLOOKUP('Données projet'!$B$15,Paramètres!$A$1:$I$89,5,0)</f>
        <v>-2.9262992029543964E-13</v>
      </c>
      <c r="EL163" s="14" t="e">
        <f t="shared" si="179"/>
        <v>#NUM!</v>
      </c>
      <c r="EM163" s="22" t="e">
        <f t="shared" si="180"/>
        <v>#NUM!</v>
      </c>
      <c r="EN163" s="62" t="e">
        <f t="shared" si="128"/>
        <v>#NUM!</v>
      </c>
      <c r="EO163" s="62">
        <f ca="1">AVERAGE(OFFSET($EN$3,0,0,'Données projet'!$E$15+1,1))-AVERAGE(OFFSET($H$3,0,0,'Données projet'!$E$15+1,1))</f>
        <v>291.68530745507815</v>
      </c>
      <c r="EP163" s="62">
        <f t="shared" si="154"/>
        <v>175.95121106728979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0</v>
      </c>
      <c r="EZ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68.178872406512497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-1.1368683772161603E-13</v>
      </c>
      <c r="FF163" s="18">
        <f>FE163*VLOOKUP('Données projet'!$B$16,Paramètres!$A$1:$I$89,3,0)*VLOOKUP('Données projet'!$B$16,Paramètres!$A$1:$I$89,5,0)</f>
        <v>-7.4487616075202823E-14</v>
      </c>
      <c r="FG163" s="14" t="e">
        <f t="shared" si="182"/>
        <v>#NUM!</v>
      </c>
      <c r="FH163" s="22" t="e">
        <f t="shared" si="183"/>
        <v>#NUM!</v>
      </c>
      <c r="FI163" s="62" t="e">
        <f t="shared" si="131"/>
        <v>#NUM!</v>
      </c>
      <c r="FJ163" s="62">
        <f ca="1">AVERAGE(OFFSET($FI$3,0,0,'Données projet'!$E$16+1,1))-AVERAGE(OFFSET($H$3,0,0,'Données projet'!$E$16+1,1))</f>
        <v>248.75689726928428</v>
      </c>
      <c r="FK163" s="62">
        <f t="shared" si="156"/>
        <v>232.02291680388336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projet'!$B$16,Paramètres!$A$1:$I$89,3,0)*0.475*44/12</f>
        <v>0</v>
      </c>
      <c r="FR163" s="23">
        <f>EXP(-LN(2)/25)*FR162+(1-EXP(-LN(2)/25))/(LN(2)/25)*Calculateur!FM163*Calculateur!FO163*VLOOKUP('Données projet'!$B$16,Paramètres!$A$1:$I$89,3,0)*0.475*44/12</f>
        <v>0</v>
      </c>
      <c r="FS163" s="23">
        <f>EXP(-LN(2)/2)*FS162+(1-EXP(-LN(2)/2))/(LN(2)/2)*FM163*FP163*VLOOKUP('Données projet'!$B$16,Paramètres!$A$1:$I$89,3,0)*0.475*44/12</f>
        <v>0</v>
      </c>
      <c r="FT163" s="24">
        <f t="shared" si="184"/>
        <v>0</v>
      </c>
      <c r="FU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68.178872406512497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5.1159076974727213E-13</v>
      </c>
      <c r="GA163" s="18">
        <f>FZ163*VLOOKUP('Données projet'!$B$17,Paramètres!$A$1:$I$89,3,0)*VLOOKUP('Données projet'!$B$17,Paramètres!$A$1:$I$89,5,0)</f>
        <v>3.0593128030886877E-13</v>
      </c>
      <c r="GB163" s="14">
        <f t="shared" si="185"/>
        <v>4.0350537939347394E-12</v>
      </c>
      <c r="GC163" s="22">
        <f t="shared" si="186"/>
        <v>7.5605490043076185E-12</v>
      </c>
      <c r="GD163" s="62">
        <f t="shared" si="134"/>
        <v>286.65586549055337</v>
      </c>
      <c r="GE163" s="62">
        <f ca="1">AVERAGE(OFFSET($GD$3,0,0,'Données projet'!$E$17+1,1))-AVERAGE(OFFSET($H$3,0,0,'Données projet'!$E$17+1,1))</f>
        <v>315.909549580511</v>
      </c>
      <c r="GF163" s="62">
        <f t="shared" si="158"/>
        <v>208.56856525402051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projet'!$B$17,Paramètres!$A$1:$I$89,3,0)*0.475*44/12</f>
        <v>0</v>
      </c>
      <c r="GM163" s="23">
        <f>EXP(-LN(2)/25)*GM162+(1-EXP(-LN(2)/25))/(LN(2)/25)*Calculateur!GH163*Calculateur!GJ163*VLOOKUP('Données projet'!$B$17,Paramètres!$A$1:$I$89,3,0)*0.475*44/12</f>
        <v>0</v>
      </c>
      <c r="GN163" s="23">
        <f>EXP(-LN(2)/2)*GN162+(1-EXP(-LN(2)/2))/(LN(2)/2)*GH163*GK163*VLOOKUP('Données projet'!$B$17,Paramètres!$A$1:$I$89,3,0)*0.475*44/12</f>
        <v>0</v>
      </c>
      <c r="GO163" s="23">
        <f t="shared" si="187"/>
        <v>0</v>
      </c>
      <c r="GP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68.178872406512497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1.1368683772161603E-13</v>
      </c>
      <c r="GV163" s="18">
        <f>GU163*VLOOKUP('Données projet'!$B$18,Paramètres!$A$1:$I$89,3,0)*VLOOKUP('Données projet'!$B$18,Paramètres!$A$1:$I$89,5,0)</f>
        <v>7.626113074366004E-14</v>
      </c>
      <c r="GW163" s="14">
        <f t="shared" si="188"/>
        <v>1.1823749172251317E-12</v>
      </c>
      <c r="GX163" s="22">
        <f t="shared" si="189"/>
        <v>2.1921244502123119E-12</v>
      </c>
      <c r="GY163" s="62">
        <f t="shared" si="137"/>
        <v>286.65586549054802</v>
      </c>
      <c r="GZ163" s="62">
        <f ca="1">AVERAGE(OFFSET($GY$3,0,0,'Données projet'!$E$18+1,1))-AVERAGE(OFFSET($H$3,0,0,'Données projet'!$E$18+1,1))</f>
        <v>254.35742752782755</v>
      </c>
      <c r="HA163" s="62">
        <f t="shared" si="160"/>
        <v>171.79611712137395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>
        <f>EXP(-LN(2)/35)*HG162+(1-EXP(-LN(2)/35))/(LN(2)/35)*HC163*HD163*VLOOKUP('Données projet'!$B$18,Paramètres!$A$1:$I$89,3,0)*0.475*44/12</f>
        <v>0</v>
      </c>
      <c r="HH163" s="23">
        <f>EXP(-LN(2)/25)*HH162+(1-EXP(-LN(2)/25))/(LN(2)/25)*Calculateur!HC163*Calculateur!HE163*VLOOKUP('Données projet'!$B$18,Paramètres!$A$1:$I$89,3,0)*0.475*44/12</f>
        <v>0</v>
      </c>
      <c r="HI163" s="23">
        <f>EXP(-LN(2)/2)*HI162+(1-EXP(-LN(2)/2))/(LN(2)/2)*HC163*HF163*VLOOKUP('Données projet'!$B$18,Paramètres!$A$1:$I$89,3,0)*0.475*44/12</f>
        <v>0</v>
      </c>
      <c r="HJ163" s="24">
        <f t="shared" si="190"/>
        <v>0</v>
      </c>
    </row>
    <row r="164" spans="1:218" x14ac:dyDescent="0.3">
      <c r="A164" s="11">
        <f t="shared" si="161"/>
        <v>161</v>
      </c>
      <c r="B164" s="76">
        <f>'Scénario référence'!$B$16*5+'Scénario référence'!$B$17*0+'Scénario référence'!$B$18*5</f>
        <v>3.9405000000000001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14.448500000000001</v>
      </c>
      <c r="H164" s="69">
        <f t="shared" si="110"/>
        <v>161.30656666666667</v>
      </c>
      <c r="I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68.21046489882815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210.54472399593521</v>
      </c>
      <c r="T164" s="62">
        <f t="shared" si="142"/>
        <v>181.14158435194193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68.21046489882815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289.05608923588198</v>
      </c>
      <c r="AO164" s="62">
        <f t="shared" si="144"/>
        <v>220.06639020312738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68.21046489882815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>
        <f>BD164*VLOOKUP('Données projet'!$B$11,Paramètres!$A$1:$I$89,3,0)*VLOOKUP('Données projet'!$B$11,Paramètres!$A$1:$I$89,5,0)</f>
        <v>0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299.54950406029354</v>
      </c>
      <c r="BJ164" s="62">
        <f t="shared" si="146"/>
        <v>208.26364698165739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68.21046489882815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>
        <f>BY164*VLOOKUP('Données projet'!$B$12,Paramètres!$A$1:$I$89,3,0)*VLOOKUP('Données projet'!$B$12,Paramètres!$A$1:$I$89,5,0)</f>
        <v>0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441.30518831297212</v>
      </c>
      <c r="CE164" s="62">
        <f t="shared" si="148"/>
        <v>270.42872405271851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68.21046489882815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-1.1368683772161603E-13</v>
      </c>
      <c r="CU164" s="18">
        <f>CT164*VLOOKUP('Données projet'!$B$13,Paramètres!$A$1:$I$89,3,0)*VLOOKUP('Données projet'!$B$13,Paramètres!$A$1:$I$89,5,0)</f>
        <v>-9.9316821433603781E-14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310.81258463659196</v>
      </c>
      <c r="CZ164" s="62">
        <f t="shared" si="150"/>
        <v>287.31099756692083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68.21046489882815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>
        <f>DO164*VLOOKUP('Données projet'!$B$14,Paramètres!$A$1:$I$89,3,0)*VLOOKUP('Données projet'!$B$14,Paramètres!$A$1:$I$89,5,0)</f>
        <v>0</v>
      </c>
      <c r="DQ164" s="14" t="e">
        <f t="shared" si="176"/>
        <v>#NUM!</v>
      </c>
      <c r="DR164" s="22" t="e">
        <f t="shared" si="177"/>
        <v>#NUM!</v>
      </c>
      <c r="DS164" s="62" t="e">
        <f t="shared" si="125"/>
        <v>#NUM!</v>
      </c>
      <c r="DT164" s="62">
        <f ca="1">AVERAGE(OFFSET($DS$3,0,0,'Données projet'!$E$14+1,1))-AVERAGE(OFFSET($H$3,0,0,'Données projet'!$E$14+1,1))</f>
        <v>431.19274104373625</v>
      </c>
      <c r="DU164" s="62">
        <f t="shared" si="152"/>
        <v>264.67919175178133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68.21046489882815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-6.2527760746888816E-13</v>
      </c>
      <c r="EK164" s="18">
        <f>EJ164*VLOOKUP('Données projet'!$B$15,Paramètres!$A$1:$I$89,3,0)*VLOOKUP('Données projet'!$B$15,Paramètres!$A$1:$I$89,5,0)</f>
        <v>-2.9262992029543964E-13</v>
      </c>
      <c r="EL164" s="14" t="e">
        <f t="shared" si="179"/>
        <v>#NUM!</v>
      </c>
      <c r="EM164" s="22" t="e">
        <f t="shared" si="180"/>
        <v>#NUM!</v>
      </c>
      <c r="EN164" s="62" t="e">
        <f t="shared" si="128"/>
        <v>#NUM!</v>
      </c>
      <c r="EO164" s="62">
        <f ca="1">AVERAGE(OFFSET($EN$3,0,0,'Données projet'!$E$15+1,1))-AVERAGE(OFFSET($H$3,0,0,'Données projet'!$E$15+1,1))</f>
        <v>291.68530745507815</v>
      </c>
      <c r="EP164" s="62">
        <f t="shared" si="154"/>
        <v>175.95121106728979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0</v>
      </c>
      <c r="EZ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68.21046489882815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-1.1368683772161603E-13</v>
      </c>
      <c r="FF164" s="18">
        <f>FE164*VLOOKUP('Données projet'!$B$16,Paramètres!$A$1:$I$89,3,0)*VLOOKUP('Données projet'!$B$16,Paramètres!$A$1:$I$89,5,0)</f>
        <v>-7.4487616075202823E-14</v>
      </c>
      <c r="FG164" s="14" t="e">
        <f t="shared" si="182"/>
        <v>#NUM!</v>
      </c>
      <c r="FH164" s="22" t="e">
        <f t="shared" si="183"/>
        <v>#NUM!</v>
      </c>
      <c r="FI164" s="62" t="e">
        <f t="shared" si="131"/>
        <v>#NUM!</v>
      </c>
      <c r="FJ164" s="62">
        <f ca="1">AVERAGE(OFFSET($FI$3,0,0,'Données projet'!$E$16+1,1))-AVERAGE(OFFSET($H$3,0,0,'Données projet'!$E$16+1,1))</f>
        <v>248.75689726928428</v>
      </c>
      <c r="FK164" s="62">
        <f t="shared" si="156"/>
        <v>232.02291680388336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projet'!$B$16,Paramètres!$A$1:$I$89,3,0)*0.475*44/12</f>
        <v>0</v>
      </c>
      <c r="FR164" s="23">
        <f>EXP(-LN(2)/25)*FR163+(1-EXP(-LN(2)/25))/(LN(2)/25)*Calculateur!FM164*Calculateur!FO164*VLOOKUP('Données projet'!$B$16,Paramètres!$A$1:$I$89,3,0)*0.475*44/12</f>
        <v>0</v>
      </c>
      <c r="FS164" s="23">
        <f>EXP(-LN(2)/2)*FS163+(1-EXP(-LN(2)/2))/(LN(2)/2)*FM164*FP164*VLOOKUP('Données projet'!$B$16,Paramètres!$A$1:$I$89,3,0)*0.475*44/12</f>
        <v>0</v>
      </c>
      <c r="FT164" s="24">
        <f t="shared" si="184"/>
        <v>0</v>
      </c>
      <c r="FU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68.21046489882815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5.1159076974727213E-13</v>
      </c>
      <c r="GA164" s="18">
        <f>FZ164*VLOOKUP('Données projet'!$B$17,Paramètres!$A$1:$I$89,3,0)*VLOOKUP('Données projet'!$B$17,Paramètres!$A$1:$I$89,5,0)</f>
        <v>3.0593128030886877E-13</v>
      </c>
      <c r="GB164" s="14">
        <f t="shared" si="185"/>
        <v>4.0350537939347394E-12</v>
      </c>
      <c r="GC164" s="22">
        <f t="shared" si="186"/>
        <v>7.5605490043076185E-12</v>
      </c>
      <c r="GD164" s="62">
        <f t="shared" si="134"/>
        <v>286.77170462904411</v>
      </c>
      <c r="GE164" s="62">
        <f ca="1">AVERAGE(OFFSET($GD$3,0,0,'Données projet'!$E$17+1,1))-AVERAGE(OFFSET($H$3,0,0,'Données projet'!$E$17+1,1))</f>
        <v>315.909549580511</v>
      </c>
      <c r="GF164" s="62">
        <f t="shared" si="158"/>
        <v>208.56856525402051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projet'!$B$17,Paramètres!$A$1:$I$89,3,0)*0.475*44/12</f>
        <v>0</v>
      </c>
      <c r="GM164" s="23">
        <f>EXP(-LN(2)/25)*GM163+(1-EXP(-LN(2)/25))/(LN(2)/25)*Calculateur!GH164*Calculateur!GJ164*VLOOKUP('Données projet'!$B$17,Paramètres!$A$1:$I$89,3,0)*0.475*44/12</f>
        <v>0</v>
      </c>
      <c r="GN164" s="23">
        <f>EXP(-LN(2)/2)*GN163+(1-EXP(-LN(2)/2))/(LN(2)/2)*GH164*GK164*VLOOKUP('Données projet'!$B$17,Paramètres!$A$1:$I$89,3,0)*0.475*44/12</f>
        <v>0</v>
      </c>
      <c r="GO164" s="23">
        <f t="shared" si="187"/>
        <v>0</v>
      </c>
      <c r="GP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68.21046489882815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1.1368683772161603E-13</v>
      </c>
      <c r="GV164" s="18">
        <f>GU164*VLOOKUP('Données projet'!$B$18,Paramètres!$A$1:$I$89,3,0)*VLOOKUP('Données projet'!$B$18,Paramètres!$A$1:$I$89,5,0)</f>
        <v>7.626113074366004E-14</v>
      </c>
      <c r="GW164" s="14">
        <f t="shared" si="188"/>
        <v>1.1823749172251317E-12</v>
      </c>
      <c r="GX164" s="22">
        <f t="shared" si="189"/>
        <v>2.1921244502123119E-12</v>
      </c>
      <c r="GY164" s="62">
        <f t="shared" si="137"/>
        <v>286.77170462903877</v>
      </c>
      <c r="GZ164" s="62">
        <f ca="1">AVERAGE(OFFSET($GY$3,0,0,'Données projet'!$E$18+1,1))-AVERAGE(OFFSET($H$3,0,0,'Données projet'!$E$18+1,1))</f>
        <v>254.35742752782755</v>
      </c>
      <c r="HA164" s="62">
        <f t="shared" si="160"/>
        <v>171.79611712137395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>
        <f>EXP(-LN(2)/35)*HG163+(1-EXP(-LN(2)/35))/(LN(2)/35)*HC164*HD164*VLOOKUP('Données projet'!$B$18,Paramètres!$A$1:$I$89,3,0)*0.475*44/12</f>
        <v>0</v>
      </c>
      <c r="HH164" s="23">
        <f>EXP(-LN(2)/25)*HH163+(1-EXP(-LN(2)/25))/(LN(2)/25)*Calculateur!HC164*Calculateur!HE164*VLOOKUP('Données projet'!$B$18,Paramètres!$A$1:$I$89,3,0)*0.475*44/12</f>
        <v>0</v>
      </c>
      <c r="HI164" s="23">
        <f>EXP(-LN(2)/2)*HI163+(1-EXP(-LN(2)/2))/(LN(2)/2)*HC164*HF164*VLOOKUP('Données projet'!$B$18,Paramètres!$A$1:$I$89,3,0)*0.475*44/12</f>
        <v>0</v>
      </c>
      <c r="HJ164" s="24">
        <f t="shared" si="190"/>
        <v>0</v>
      </c>
    </row>
    <row r="165" spans="1:218" x14ac:dyDescent="0.3">
      <c r="A165" s="11">
        <f t="shared" si="161"/>
        <v>162</v>
      </c>
      <c r="B165" s="76">
        <f>'Scénario référence'!$B$16*5+'Scénario référence'!$B$17*0+'Scénario référence'!$B$18*5</f>
        <v>3.9405000000000001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14.448500000000001</v>
      </c>
      <c r="H165" s="69">
        <f t="shared" si="110"/>
        <v>161.30656666666667</v>
      </c>
      <c r="I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68.241509332032365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210.54472399593521</v>
      </c>
      <c r="T165" s="62">
        <f t="shared" si="142"/>
        <v>181.14158435194193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68.241509332032365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289.05608923588198</v>
      </c>
      <c r="AO165" s="62">
        <f t="shared" si="144"/>
        <v>220.06639020312738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68.241509332032365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>
        <f>BD165*VLOOKUP('Données projet'!$B$11,Paramètres!$A$1:$I$89,3,0)*VLOOKUP('Données projet'!$B$11,Paramètres!$A$1:$I$89,5,0)</f>
        <v>0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299.54950406029354</v>
      </c>
      <c r="BJ165" s="62">
        <f t="shared" si="146"/>
        <v>208.26364698165739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68.241509332032365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>
        <f>BY165*VLOOKUP('Données projet'!$B$12,Paramètres!$A$1:$I$89,3,0)*VLOOKUP('Données projet'!$B$12,Paramètres!$A$1:$I$89,5,0)</f>
        <v>0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441.30518831297212</v>
      </c>
      <c r="CE165" s="62">
        <f t="shared" si="148"/>
        <v>270.42872405271851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68.241509332032365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-1.1368683772161603E-13</v>
      </c>
      <c r="CU165" s="18">
        <f>CT165*VLOOKUP('Données projet'!$B$13,Paramètres!$A$1:$I$89,3,0)*VLOOKUP('Données projet'!$B$13,Paramètres!$A$1:$I$89,5,0)</f>
        <v>-9.9316821433603781E-14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310.81258463659196</v>
      </c>
      <c r="CZ165" s="62">
        <f t="shared" si="150"/>
        <v>287.31099756692083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68.241509332032365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>
        <f>DO165*VLOOKUP('Données projet'!$B$14,Paramètres!$A$1:$I$89,3,0)*VLOOKUP('Données projet'!$B$14,Paramètres!$A$1:$I$89,5,0)</f>
        <v>0</v>
      </c>
      <c r="DQ165" s="14" t="e">
        <f t="shared" si="176"/>
        <v>#NUM!</v>
      </c>
      <c r="DR165" s="22" t="e">
        <f t="shared" si="177"/>
        <v>#NUM!</v>
      </c>
      <c r="DS165" s="62" t="e">
        <f t="shared" si="125"/>
        <v>#NUM!</v>
      </c>
      <c r="DT165" s="62">
        <f ca="1">AVERAGE(OFFSET($DS$3,0,0,'Données projet'!$E$14+1,1))-AVERAGE(OFFSET($H$3,0,0,'Données projet'!$E$14+1,1))</f>
        <v>431.19274104373625</v>
      </c>
      <c r="DU165" s="62">
        <f t="shared" si="152"/>
        <v>264.67919175178133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68.241509332032365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-6.2527760746888816E-13</v>
      </c>
      <c r="EK165" s="18">
        <f>EJ165*VLOOKUP('Données projet'!$B$15,Paramètres!$A$1:$I$89,3,0)*VLOOKUP('Données projet'!$B$15,Paramètres!$A$1:$I$89,5,0)</f>
        <v>-2.9262992029543964E-13</v>
      </c>
      <c r="EL165" s="14" t="e">
        <f t="shared" si="179"/>
        <v>#NUM!</v>
      </c>
      <c r="EM165" s="22" t="e">
        <f t="shared" si="180"/>
        <v>#NUM!</v>
      </c>
      <c r="EN165" s="62" t="e">
        <f t="shared" si="128"/>
        <v>#NUM!</v>
      </c>
      <c r="EO165" s="62">
        <f ca="1">AVERAGE(OFFSET($EN$3,0,0,'Données projet'!$E$15+1,1))-AVERAGE(OFFSET($H$3,0,0,'Données projet'!$E$15+1,1))</f>
        <v>291.68530745507815</v>
      </c>
      <c r="EP165" s="62">
        <f t="shared" si="154"/>
        <v>175.95121106728979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0</v>
      </c>
      <c r="EZ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68.241509332032365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-1.1368683772161603E-13</v>
      </c>
      <c r="FF165" s="18">
        <f>FE165*VLOOKUP('Données projet'!$B$16,Paramètres!$A$1:$I$89,3,0)*VLOOKUP('Données projet'!$B$16,Paramètres!$A$1:$I$89,5,0)</f>
        <v>-7.4487616075202823E-14</v>
      </c>
      <c r="FG165" s="14" t="e">
        <f t="shared" si="182"/>
        <v>#NUM!</v>
      </c>
      <c r="FH165" s="22" t="e">
        <f t="shared" si="183"/>
        <v>#NUM!</v>
      </c>
      <c r="FI165" s="62" t="e">
        <f t="shared" si="131"/>
        <v>#NUM!</v>
      </c>
      <c r="FJ165" s="62">
        <f ca="1">AVERAGE(OFFSET($FI$3,0,0,'Données projet'!$E$16+1,1))-AVERAGE(OFFSET($H$3,0,0,'Données projet'!$E$16+1,1))</f>
        <v>248.75689726928428</v>
      </c>
      <c r="FK165" s="62">
        <f t="shared" si="156"/>
        <v>232.02291680388336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projet'!$B$16,Paramètres!$A$1:$I$89,3,0)*0.475*44/12</f>
        <v>0</v>
      </c>
      <c r="FR165" s="23">
        <f>EXP(-LN(2)/25)*FR164+(1-EXP(-LN(2)/25))/(LN(2)/25)*Calculateur!FM165*Calculateur!FO165*VLOOKUP('Données projet'!$B$16,Paramètres!$A$1:$I$89,3,0)*0.475*44/12</f>
        <v>0</v>
      </c>
      <c r="FS165" s="23">
        <f>EXP(-LN(2)/2)*FS164+(1-EXP(-LN(2)/2))/(LN(2)/2)*FM165*FP165*VLOOKUP('Données projet'!$B$16,Paramètres!$A$1:$I$89,3,0)*0.475*44/12</f>
        <v>0</v>
      </c>
      <c r="FT165" s="24">
        <f t="shared" si="184"/>
        <v>0</v>
      </c>
      <c r="FU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68.241509332032365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5.1159076974727213E-13</v>
      </c>
      <c r="GA165" s="18">
        <f>FZ165*VLOOKUP('Données projet'!$B$17,Paramètres!$A$1:$I$89,3,0)*VLOOKUP('Données projet'!$B$17,Paramètres!$A$1:$I$89,5,0)</f>
        <v>3.0593128030886877E-13</v>
      </c>
      <c r="GB165" s="14">
        <f t="shared" si="185"/>
        <v>4.0350537939347394E-12</v>
      </c>
      <c r="GC165" s="22">
        <f t="shared" si="186"/>
        <v>7.5605490043076185E-12</v>
      </c>
      <c r="GD165" s="62">
        <f t="shared" si="134"/>
        <v>286.88553421745956</v>
      </c>
      <c r="GE165" s="62">
        <f ca="1">AVERAGE(OFFSET($GD$3,0,0,'Données projet'!$E$17+1,1))-AVERAGE(OFFSET($H$3,0,0,'Données projet'!$E$17+1,1))</f>
        <v>315.909549580511</v>
      </c>
      <c r="GF165" s="62">
        <f t="shared" si="158"/>
        <v>208.56856525402051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projet'!$B$17,Paramètres!$A$1:$I$89,3,0)*0.475*44/12</f>
        <v>0</v>
      </c>
      <c r="GM165" s="23">
        <f>EXP(-LN(2)/25)*GM164+(1-EXP(-LN(2)/25))/(LN(2)/25)*Calculateur!GH165*Calculateur!GJ165*VLOOKUP('Données projet'!$B$17,Paramètres!$A$1:$I$89,3,0)*0.475*44/12</f>
        <v>0</v>
      </c>
      <c r="GN165" s="23">
        <f>EXP(-LN(2)/2)*GN164+(1-EXP(-LN(2)/2))/(LN(2)/2)*GH165*GK165*VLOOKUP('Données projet'!$B$17,Paramètres!$A$1:$I$89,3,0)*0.475*44/12</f>
        <v>0</v>
      </c>
      <c r="GO165" s="23">
        <f t="shared" si="187"/>
        <v>0</v>
      </c>
      <c r="GP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68.241509332032365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1.1368683772161603E-13</v>
      </c>
      <c r="GV165" s="18">
        <f>GU165*VLOOKUP('Données projet'!$B$18,Paramètres!$A$1:$I$89,3,0)*VLOOKUP('Données projet'!$B$18,Paramètres!$A$1:$I$89,5,0)</f>
        <v>7.626113074366004E-14</v>
      </c>
      <c r="GW165" s="14">
        <f t="shared" si="188"/>
        <v>1.1823749172251317E-12</v>
      </c>
      <c r="GX165" s="22">
        <f t="shared" si="189"/>
        <v>2.1921244502123119E-12</v>
      </c>
      <c r="GY165" s="62">
        <f t="shared" si="137"/>
        <v>286.88553421745422</v>
      </c>
      <c r="GZ165" s="62">
        <f ca="1">AVERAGE(OFFSET($GY$3,0,0,'Données projet'!$E$18+1,1))-AVERAGE(OFFSET($H$3,0,0,'Données projet'!$E$18+1,1))</f>
        <v>254.35742752782755</v>
      </c>
      <c r="HA165" s="62">
        <f t="shared" si="160"/>
        <v>171.79611712137395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>
        <f>EXP(-LN(2)/35)*HG164+(1-EXP(-LN(2)/35))/(LN(2)/35)*HC165*HD165*VLOOKUP('Données projet'!$B$18,Paramètres!$A$1:$I$89,3,0)*0.475*44/12</f>
        <v>0</v>
      </c>
      <c r="HH165" s="23">
        <f>EXP(-LN(2)/25)*HH164+(1-EXP(-LN(2)/25))/(LN(2)/25)*Calculateur!HC165*Calculateur!HE165*VLOOKUP('Données projet'!$B$18,Paramètres!$A$1:$I$89,3,0)*0.475*44/12</f>
        <v>0</v>
      </c>
      <c r="HI165" s="23">
        <f>EXP(-LN(2)/2)*HI164+(1-EXP(-LN(2)/2))/(LN(2)/2)*HC165*HF165*VLOOKUP('Données projet'!$B$18,Paramètres!$A$1:$I$89,3,0)*0.475*44/12</f>
        <v>0</v>
      </c>
      <c r="HJ165" s="24">
        <f t="shared" si="190"/>
        <v>0</v>
      </c>
    </row>
    <row r="166" spans="1:218" x14ac:dyDescent="0.3">
      <c r="A166" s="11">
        <f t="shared" si="161"/>
        <v>163</v>
      </c>
      <c r="B166" s="76">
        <f>'Scénario référence'!$B$16*5+'Scénario référence'!$B$17*0+'Scénario référence'!$B$18*5</f>
        <v>3.9405000000000001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14.448500000000001</v>
      </c>
      <c r="H166" s="69">
        <f t="shared" si="110"/>
        <v>161.30656666666667</v>
      </c>
      <c r="I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68.272015213725439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210.54472399593521</v>
      </c>
      <c r="T166" s="62">
        <f t="shared" si="142"/>
        <v>181.14158435194193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68.272015213725439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289.05608923588198</v>
      </c>
      <c r="AO166" s="62">
        <f t="shared" si="144"/>
        <v>220.06639020312738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68.272015213725439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>
        <f>BD166*VLOOKUP('Données projet'!$B$11,Paramètres!$A$1:$I$89,3,0)*VLOOKUP('Données projet'!$B$11,Paramètres!$A$1:$I$89,5,0)</f>
        <v>0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299.54950406029354</v>
      </c>
      <c r="BJ166" s="62">
        <f t="shared" si="146"/>
        <v>208.26364698165739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68.272015213725439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>
        <f>BY166*VLOOKUP('Données projet'!$B$12,Paramètres!$A$1:$I$89,3,0)*VLOOKUP('Données projet'!$B$12,Paramètres!$A$1:$I$89,5,0)</f>
        <v>0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441.30518831297212</v>
      </c>
      <c r="CE166" s="62">
        <f t="shared" si="148"/>
        <v>270.42872405271851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68.272015213725439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-1.1368683772161603E-13</v>
      </c>
      <c r="CU166" s="18">
        <f>CT166*VLOOKUP('Données projet'!$B$13,Paramètres!$A$1:$I$89,3,0)*VLOOKUP('Données projet'!$B$13,Paramètres!$A$1:$I$89,5,0)</f>
        <v>-9.9316821433603781E-14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310.81258463659196</v>
      </c>
      <c r="CZ166" s="62">
        <f t="shared" si="150"/>
        <v>287.31099756692083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68.272015213725439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>
        <f>DO166*VLOOKUP('Données projet'!$B$14,Paramètres!$A$1:$I$89,3,0)*VLOOKUP('Données projet'!$B$14,Paramètres!$A$1:$I$89,5,0)</f>
        <v>0</v>
      </c>
      <c r="DQ166" s="14" t="e">
        <f t="shared" si="176"/>
        <v>#NUM!</v>
      </c>
      <c r="DR166" s="22" t="e">
        <f t="shared" si="177"/>
        <v>#NUM!</v>
      </c>
      <c r="DS166" s="62" t="e">
        <f t="shared" si="125"/>
        <v>#NUM!</v>
      </c>
      <c r="DT166" s="62">
        <f ca="1">AVERAGE(OFFSET($DS$3,0,0,'Données projet'!$E$14+1,1))-AVERAGE(OFFSET($H$3,0,0,'Données projet'!$E$14+1,1))</f>
        <v>431.19274104373625</v>
      </c>
      <c r="DU166" s="62">
        <f t="shared" si="152"/>
        <v>264.67919175178133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68.272015213725439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-6.2527760746888816E-13</v>
      </c>
      <c r="EK166" s="18">
        <f>EJ166*VLOOKUP('Données projet'!$B$15,Paramètres!$A$1:$I$89,3,0)*VLOOKUP('Données projet'!$B$15,Paramètres!$A$1:$I$89,5,0)</f>
        <v>-2.9262992029543964E-13</v>
      </c>
      <c r="EL166" s="14" t="e">
        <f t="shared" si="179"/>
        <v>#NUM!</v>
      </c>
      <c r="EM166" s="22" t="e">
        <f t="shared" si="180"/>
        <v>#NUM!</v>
      </c>
      <c r="EN166" s="62" t="e">
        <f t="shared" si="128"/>
        <v>#NUM!</v>
      </c>
      <c r="EO166" s="62">
        <f ca="1">AVERAGE(OFFSET($EN$3,0,0,'Données projet'!$E$15+1,1))-AVERAGE(OFFSET($H$3,0,0,'Données projet'!$E$15+1,1))</f>
        <v>291.68530745507815</v>
      </c>
      <c r="EP166" s="62">
        <f t="shared" si="154"/>
        <v>175.95121106728979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0</v>
      </c>
      <c r="EZ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68.272015213725439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-1.1368683772161603E-13</v>
      </c>
      <c r="FF166" s="18">
        <f>FE166*VLOOKUP('Données projet'!$B$16,Paramètres!$A$1:$I$89,3,0)*VLOOKUP('Données projet'!$B$16,Paramètres!$A$1:$I$89,5,0)</f>
        <v>-7.4487616075202823E-14</v>
      </c>
      <c r="FG166" s="14" t="e">
        <f t="shared" si="182"/>
        <v>#NUM!</v>
      </c>
      <c r="FH166" s="22" t="e">
        <f t="shared" si="183"/>
        <v>#NUM!</v>
      </c>
      <c r="FI166" s="62" t="e">
        <f t="shared" si="131"/>
        <v>#NUM!</v>
      </c>
      <c r="FJ166" s="62">
        <f ca="1">AVERAGE(OFFSET($FI$3,0,0,'Données projet'!$E$16+1,1))-AVERAGE(OFFSET($H$3,0,0,'Données projet'!$E$16+1,1))</f>
        <v>248.75689726928428</v>
      </c>
      <c r="FK166" s="62">
        <f t="shared" si="156"/>
        <v>232.02291680388336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projet'!$B$16,Paramètres!$A$1:$I$89,3,0)*0.475*44/12</f>
        <v>0</v>
      </c>
      <c r="FR166" s="23">
        <f>EXP(-LN(2)/25)*FR165+(1-EXP(-LN(2)/25))/(LN(2)/25)*Calculateur!FM166*Calculateur!FO166*VLOOKUP('Données projet'!$B$16,Paramètres!$A$1:$I$89,3,0)*0.475*44/12</f>
        <v>0</v>
      </c>
      <c r="FS166" s="23">
        <f>EXP(-LN(2)/2)*FS165+(1-EXP(-LN(2)/2))/(LN(2)/2)*FM166*FP166*VLOOKUP('Données projet'!$B$16,Paramètres!$A$1:$I$89,3,0)*0.475*44/12</f>
        <v>0</v>
      </c>
      <c r="FT166" s="24">
        <f t="shared" si="184"/>
        <v>0</v>
      </c>
      <c r="FU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68.272015213725439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5.1159076974727213E-13</v>
      </c>
      <c r="GA166" s="18">
        <f>FZ166*VLOOKUP('Données projet'!$B$17,Paramètres!$A$1:$I$89,3,0)*VLOOKUP('Données projet'!$B$17,Paramètres!$A$1:$I$89,5,0)</f>
        <v>3.0593128030886877E-13</v>
      </c>
      <c r="GB166" s="14">
        <f t="shared" si="185"/>
        <v>4.0350537939347394E-12</v>
      </c>
      <c r="GC166" s="22">
        <f t="shared" si="186"/>
        <v>7.5605490043076185E-12</v>
      </c>
      <c r="GD166" s="62">
        <f t="shared" si="134"/>
        <v>286.99738911700081</v>
      </c>
      <c r="GE166" s="62">
        <f ca="1">AVERAGE(OFFSET($GD$3,0,0,'Données projet'!$E$17+1,1))-AVERAGE(OFFSET($H$3,0,0,'Données projet'!$E$17+1,1))</f>
        <v>315.909549580511</v>
      </c>
      <c r="GF166" s="62">
        <f t="shared" si="158"/>
        <v>208.56856525402051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projet'!$B$17,Paramètres!$A$1:$I$89,3,0)*0.475*44/12</f>
        <v>0</v>
      </c>
      <c r="GM166" s="23">
        <f>EXP(-LN(2)/25)*GM165+(1-EXP(-LN(2)/25))/(LN(2)/25)*Calculateur!GH166*Calculateur!GJ166*VLOOKUP('Données projet'!$B$17,Paramètres!$A$1:$I$89,3,0)*0.475*44/12</f>
        <v>0</v>
      </c>
      <c r="GN166" s="23">
        <f>EXP(-LN(2)/2)*GN165+(1-EXP(-LN(2)/2))/(LN(2)/2)*GH166*GK166*VLOOKUP('Données projet'!$B$17,Paramètres!$A$1:$I$89,3,0)*0.475*44/12</f>
        <v>0</v>
      </c>
      <c r="GO166" s="23">
        <f t="shared" si="187"/>
        <v>0</v>
      </c>
      <c r="GP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68.272015213725439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1.1368683772161603E-13</v>
      </c>
      <c r="GV166" s="18">
        <f>GU166*VLOOKUP('Données projet'!$B$18,Paramètres!$A$1:$I$89,3,0)*VLOOKUP('Données projet'!$B$18,Paramètres!$A$1:$I$89,5,0)</f>
        <v>7.626113074366004E-14</v>
      </c>
      <c r="GW166" s="14">
        <f t="shared" si="188"/>
        <v>1.1823749172251317E-12</v>
      </c>
      <c r="GX166" s="22">
        <f t="shared" si="189"/>
        <v>2.1921244502123119E-12</v>
      </c>
      <c r="GY166" s="62">
        <f t="shared" si="137"/>
        <v>286.99738911699546</v>
      </c>
      <c r="GZ166" s="62">
        <f ca="1">AVERAGE(OFFSET($GY$3,0,0,'Données projet'!$E$18+1,1))-AVERAGE(OFFSET($H$3,0,0,'Données projet'!$E$18+1,1))</f>
        <v>254.35742752782755</v>
      </c>
      <c r="HA166" s="62">
        <f t="shared" si="160"/>
        <v>171.79611712137395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>
        <f>EXP(-LN(2)/35)*HG165+(1-EXP(-LN(2)/35))/(LN(2)/35)*HC166*HD166*VLOOKUP('Données projet'!$B$18,Paramètres!$A$1:$I$89,3,0)*0.475*44/12</f>
        <v>0</v>
      </c>
      <c r="HH166" s="23">
        <f>EXP(-LN(2)/25)*HH165+(1-EXP(-LN(2)/25))/(LN(2)/25)*Calculateur!HC166*Calculateur!HE166*VLOOKUP('Données projet'!$B$18,Paramètres!$A$1:$I$89,3,0)*0.475*44/12</f>
        <v>0</v>
      </c>
      <c r="HI166" s="23">
        <f>EXP(-LN(2)/2)*HI165+(1-EXP(-LN(2)/2))/(LN(2)/2)*HC166*HF166*VLOOKUP('Données projet'!$B$18,Paramètres!$A$1:$I$89,3,0)*0.475*44/12</f>
        <v>0</v>
      </c>
      <c r="HJ166" s="24">
        <f t="shared" si="190"/>
        <v>0</v>
      </c>
    </row>
    <row r="167" spans="1:218" x14ac:dyDescent="0.3">
      <c r="A167" s="11">
        <f t="shared" si="161"/>
        <v>164</v>
      </c>
      <c r="B167" s="76">
        <f>'Scénario référence'!$B$16*5+'Scénario référence'!$B$17*0+'Scénario référence'!$B$18*5</f>
        <v>3.9405000000000001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14.448500000000001</v>
      </c>
      <c r="H167" s="69">
        <f t="shared" si="110"/>
        <v>161.30656666666667</v>
      </c>
      <c r="I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68.301991886572068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210.54472399593521</v>
      </c>
      <c r="T167" s="62">
        <f t="shared" si="142"/>
        <v>181.14158435194193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68.301991886572068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289.05608923588198</v>
      </c>
      <c r="AO167" s="62">
        <f t="shared" si="144"/>
        <v>220.06639020312738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68.301991886572068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>
        <f>BD167*VLOOKUP('Données projet'!$B$11,Paramètres!$A$1:$I$89,3,0)*VLOOKUP('Données projet'!$B$11,Paramètres!$A$1:$I$89,5,0)</f>
        <v>0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299.54950406029354</v>
      </c>
      <c r="BJ167" s="62">
        <f t="shared" si="146"/>
        <v>208.26364698165739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68.301991886572068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>
        <f>BY167*VLOOKUP('Données projet'!$B$12,Paramètres!$A$1:$I$89,3,0)*VLOOKUP('Données projet'!$B$12,Paramètres!$A$1:$I$89,5,0)</f>
        <v>0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441.30518831297212</v>
      </c>
      <c r="CE167" s="62">
        <f t="shared" si="148"/>
        <v>270.42872405271851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68.301991886572068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-1.1368683772161603E-13</v>
      </c>
      <c r="CU167" s="18">
        <f>CT167*VLOOKUP('Données projet'!$B$13,Paramètres!$A$1:$I$89,3,0)*VLOOKUP('Données projet'!$B$13,Paramètres!$A$1:$I$89,5,0)</f>
        <v>-9.9316821433603781E-14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310.81258463659196</v>
      </c>
      <c r="CZ167" s="62">
        <f t="shared" si="150"/>
        <v>287.31099756692083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68.301991886572068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>
        <f>DO167*VLOOKUP('Données projet'!$B$14,Paramètres!$A$1:$I$89,3,0)*VLOOKUP('Données projet'!$B$14,Paramètres!$A$1:$I$89,5,0)</f>
        <v>0</v>
      </c>
      <c r="DQ167" s="14" t="e">
        <f t="shared" si="176"/>
        <v>#NUM!</v>
      </c>
      <c r="DR167" s="22" t="e">
        <f t="shared" si="177"/>
        <v>#NUM!</v>
      </c>
      <c r="DS167" s="62" t="e">
        <f t="shared" si="125"/>
        <v>#NUM!</v>
      </c>
      <c r="DT167" s="62">
        <f ca="1">AVERAGE(OFFSET($DS$3,0,0,'Données projet'!$E$14+1,1))-AVERAGE(OFFSET($H$3,0,0,'Données projet'!$E$14+1,1))</f>
        <v>431.19274104373625</v>
      </c>
      <c r="DU167" s="62">
        <f t="shared" si="152"/>
        <v>264.67919175178133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68.301991886572068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-6.2527760746888816E-13</v>
      </c>
      <c r="EK167" s="18">
        <f>EJ167*VLOOKUP('Données projet'!$B$15,Paramètres!$A$1:$I$89,3,0)*VLOOKUP('Données projet'!$B$15,Paramètres!$A$1:$I$89,5,0)</f>
        <v>-2.9262992029543964E-13</v>
      </c>
      <c r="EL167" s="14" t="e">
        <f t="shared" si="179"/>
        <v>#NUM!</v>
      </c>
      <c r="EM167" s="22" t="e">
        <f t="shared" si="180"/>
        <v>#NUM!</v>
      </c>
      <c r="EN167" s="62" t="e">
        <f t="shared" si="128"/>
        <v>#NUM!</v>
      </c>
      <c r="EO167" s="62">
        <f ca="1">AVERAGE(OFFSET($EN$3,0,0,'Données projet'!$E$15+1,1))-AVERAGE(OFFSET($H$3,0,0,'Données projet'!$E$15+1,1))</f>
        <v>291.68530745507815</v>
      </c>
      <c r="EP167" s="62">
        <f t="shared" si="154"/>
        <v>175.95121106728979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0</v>
      </c>
      <c r="EZ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68.301991886572068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-1.1368683772161603E-13</v>
      </c>
      <c r="FF167" s="18">
        <f>FE167*VLOOKUP('Données projet'!$B$16,Paramètres!$A$1:$I$89,3,0)*VLOOKUP('Données projet'!$B$16,Paramètres!$A$1:$I$89,5,0)</f>
        <v>-7.4487616075202823E-14</v>
      </c>
      <c r="FG167" s="14" t="e">
        <f t="shared" si="182"/>
        <v>#NUM!</v>
      </c>
      <c r="FH167" s="22" t="e">
        <f t="shared" si="183"/>
        <v>#NUM!</v>
      </c>
      <c r="FI167" s="62" t="e">
        <f t="shared" si="131"/>
        <v>#NUM!</v>
      </c>
      <c r="FJ167" s="62">
        <f ca="1">AVERAGE(OFFSET($FI$3,0,0,'Données projet'!$E$16+1,1))-AVERAGE(OFFSET($H$3,0,0,'Données projet'!$E$16+1,1))</f>
        <v>248.75689726928428</v>
      </c>
      <c r="FK167" s="62">
        <f t="shared" si="156"/>
        <v>232.02291680388336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projet'!$B$16,Paramètres!$A$1:$I$89,3,0)*0.475*44/12</f>
        <v>0</v>
      </c>
      <c r="FR167" s="23">
        <f>EXP(-LN(2)/25)*FR166+(1-EXP(-LN(2)/25))/(LN(2)/25)*Calculateur!FM167*Calculateur!FO167*VLOOKUP('Données projet'!$B$16,Paramètres!$A$1:$I$89,3,0)*0.475*44/12</f>
        <v>0</v>
      </c>
      <c r="FS167" s="23">
        <f>EXP(-LN(2)/2)*FS166+(1-EXP(-LN(2)/2))/(LN(2)/2)*FM167*FP167*VLOOKUP('Données projet'!$B$16,Paramètres!$A$1:$I$89,3,0)*0.475*44/12</f>
        <v>0</v>
      </c>
      <c r="FT167" s="24">
        <f t="shared" si="184"/>
        <v>0</v>
      </c>
      <c r="FU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68.301991886572068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5.1159076974727213E-13</v>
      </c>
      <c r="GA167" s="18">
        <f>FZ167*VLOOKUP('Données projet'!$B$17,Paramètres!$A$1:$I$89,3,0)*VLOOKUP('Données projet'!$B$17,Paramètres!$A$1:$I$89,5,0)</f>
        <v>3.0593128030886877E-13</v>
      </c>
      <c r="GB167" s="14">
        <f t="shared" si="185"/>
        <v>4.0350537939347394E-12</v>
      </c>
      <c r="GC167" s="22">
        <f t="shared" si="186"/>
        <v>7.5605490043076185E-12</v>
      </c>
      <c r="GD167" s="62">
        <f t="shared" si="134"/>
        <v>287.10730358410513</v>
      </c>
      <c r="GE167" s="62">
        <f ca="1">AVERAGE(OFFSET($GD$3,0,0,'Données projet'!$E$17+1,1))-AVERAGE(OFFSET($H$3,0,0,'Données projet'!$E$17+1,1))</f>
        <v>315.909549580511</v>
      </c>
      <c r="GF167" s="62">
        <f t="shared" si="158"/>
        <v>208.56856525402051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projet'!$B$17,Paramètres!$A$1:$I$89,3,0)*0.475*44/12</f>
        <v>0</v>
      </c>
      <c r="GM167" s="23">
        <f>EXP(-LN(2)/25)*GM166+(1-EXP(-LN(2)/25))/(LN(2)/25)*Calculateur!GH167*Calculateur!GJ167*VLOOKUP('Données projet'!$B$17,Paramètres!$A$1:$I$89,3,0)*0.475*44/12</f>
        <v>0</v>
      </c>
      <c r="GN167" s="23">
        <f>EXP(-LN(2)/2)*GN166+(1-EXP(-LN(2)/2))/(LN(2)/2)*GH167*GK167*VLOOKUP('Données projet'!$B$17,Paramètres!$A$1:$I$89,3,0)*0.475*44/12</f>
        <v>0</v>
      </c>
      <c r="GO167" s="23">
        <f t="shared" si="187"/>
        <v>0</v>
      </c>
      <c r="GP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68.301991886572068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1.1368683772161603E-13</v>
      </c>
      <c r="GV167" s="18">
        <f>GU167*VLOOKUP('Données projet'!$B$18,Paramètres!$A$1:$I$89,3,0)*VLOOKUP('Données projet'!$B$18,Paramètres!$A$1:$I$89,5,0)</f>
        <v>7.626113074366004E-14</v>
      </c>
      <c r="GW167" s="14">
        <f t="shared" si="188"/>
        <v>1.1823749172251317E-12</v>
      </c>
      <c r="GX167" s="22">
        <f t="shared" si="189"/>
        <v>2.1921244502123119E-12</v>
      </c>
      <c r="GY167" s="62">
        <f t="shared" si="137"/>
        <v>287.10730358409978</v>
      </c>
      <c r="GZ167" s="62">
        <f ca="1">AVERAGE(OFFSET($GY$3,0,0,'Données projet'!$E$18+1,1))-AVERAGE(OFFSET($H$3,0,0,'Données projet'!$E$18+1,1))</f>
        <v>254.35742752782755</v>
      </c>
      <c r="HA167" s="62">
        <f t="shared" si="160"/>
        <v>171.79611712137395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>
        <f>EXP(-LN(2)/35)*HG166+(1-EXP(-LN(2)/35))/(LN(2)/35)*HC167*HD167*VLOOKUP('Données projet'!$B$18,Paramètres!$A$1:$I$89,3,0)*0.475*44/12</f>
        <v>0</v>
      </c>
      <c r="HH167" s="23">
        <f>EXP(-LN(2)/25)*HH166+(1-EXP(-LN(2)/25))/(LN(2)/25)*Calculateur!HC167*Calculateur!HE167*VLOOKUP('Données projet'!$B$18,Paramètres!$A$1:$I$89,3,0)*0.475*44/12</f>
        <v>0</v>
      </c>
      <c r="HI167" s="23">
        <f>EXP(-LN(2)/2)*HI166+(1-EXP(-LN(2)/2))/(LN(2)/2)*HC167*HF167*VLOOKUP('Données projet'!$B$18,Paramètres!$A$1:$I$89,3,0)*0.475*44/12</f>
        <v>0</v>
      </c>
      <c r="HJ167" s="24">
        <f t="shared" si="190"/>
        <v>0</v>
      </c>
    </row>
    <row r="168" spans="1:218" x14ac:dyDescent="0.3">
      <c r="A168" s="11">
        <f t="shared" si="161"/>
        <v>165</v>
      </c>
      <c r="B168" s="76">
        <f>'Scénario référence'!$B$16*5+'Scénario référence'!$B$17*0+'Scénario référence'!$B$18*5</f>
        <v>3.9405000000000001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14.448500000000001</v>
      </c>
      <c r="H168" s="69">
        <f t="shared" si="110"/>
        <v>161.30656666666667</v>
      </c>
      <c r="I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68.331448531162607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210.54472399593521</v>
      </c>
      <c r="T168" s="62">
        <f t="shared" si="142"/>
        <v>181.14158435194193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68.331448531162607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289.05608923588198</v>
      </c>
      <c r="AO168" s="62">
        <f t="shared" si="144"/>
        <v>220.06639020312738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68.331448531162607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>
        <f>BD168*VLOOKUP('Données projet'!$B$11,Paramètres!$A$1:$I$89,3,0)*VLOOKUP('Données projet'!$B$11,Paramètres!$A$1:$I$89,5,0)</f>
        <v>0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299.54950406029354</v>
      </c>
      <c r="BJ168" s="62">
        <f t="shared" si="146"/>
        <v>208.26364698165739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68.331448531162607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>
        <f>BY168*VLOOKUP('Données projet'!$B$12,Paramètres!$A$1:$I$89,3,0)*VLOOKUP('Données projet'!$B$12,Paramètres!$A$1:$I$89,5,0)</f>
        <v>0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441.30518831297212</v>
      </c>
      <c r="CE168" s="62">
        <f t="shared" si="148"/>
        <v>270.42872405271851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68.331448531162607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-1.1368683772161603E-13</v>
      </c>
      <c r="CU168" s="18">
        <f>CT168*VLOOKUP('Données projet'!$B$13,Paramètres!$A$1:$I$89,3,0)*VLOOKUP('Données projet'!$B$13,Paramètres!$A$1:$I$89,5,0)</f>
        <v>-9.9316821433603781E-14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310.81258463659196</v>
      </c>
      <c r="CZ168" s="62">
        <f t="shared" si="150"/>
        <v>287.31099756692083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68.331448531162607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>
        <f>DO168*VLOOKUP('Données projet'!$B$14,Paramètres!$A$1:$I$89,3,0)*VLOOKUP('Données projet'!$B$14,Paramètres!$A$1:$I$89,5,0)</f>
        <v>0</v>
      </c>
      <c r="DQ168" s="14" t="e">
        <f t="shared" si="176"/>
        <v>#NUM!</v>
      </c>
      <c r="DR168" s="22" t="e">
        <f t="shared" si="177"/>
        <v>#NUM!</v>
      </c>
      <c r="DS168" s="62" t="e">
        <f t="shared" si="125"/>
        <v>#NUM!</v>
      </c>
      <c r="DT168" s="62">
        <f ca="1">AVERAGE(OFFSET($DS$3,0,0,'Données projet'!$E$14+1,1))-AVERAGE(OFFSET($H$3,0,0,'Données projet'!$E$14+1,1))</f>
        <v>431.19274104373625</v>
      </c>
      <c r="DU168" s="62">
        <f t="shared" si="152"/>
        <v>264.67919175178133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68.331448531162607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-6.2527760746888816E-13</v>
      </c>
      <c r="EK168" s="18">
        <f>EJ168*VLOOKUP('Données projet'!$B$15,Paramètres!$A$1:$I$89,3,0)*VLOOKUP('Données projet'!$B$15,Paramètres!$A$1:$I$89,5,0)</f>
        <v>-2.9262992029543964E-13</v>
      </c>
      <c r="EL168" s="14" t="e">
        <f t="shared" si="179"/>
        <v>#NUM!</v>
      </c>
      <c r="EM168" s="22" t="e">
        <f t="shared" si="180"/>
        <v>#NUM!</v>
      </c>
      <c r="EN168" s="62" t="e">
        <f t="shared" si="128"/>
        <v>#NUM!</v>
      </c>
      <c r="EO168" s="62">
        <f ca="1">AVERAGE(OFFSET($EN$3,0,0,'Données projet'!$E$15+1,1))-AVERAGE(OFFSET($H$3,0,0,'Données projet'!$E$15+1,1))</f>
        <v>291.68530745507815</v>
      </c>
      <c r="EP168" s="62">
        <f t="shared" si="154"/>
        <v>175.95121106728979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0</v>
      </c>
      <c r="EZ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68.331448531162607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-1.1368683772161603E-13</v>
      </c>
      <c r="FF168" s="18">
        <f>FE168*VLOOKUP('Données projet'!$B$16,Paramètres!$A$1:$I$89,3,0)*VLOOKUP('Données projet'!$B$16,Paramètres!$A$1:$I$89,5,0)</f>
        <v>-7.4487616075202823E-14</v>
      </c>
      <c r="FG168" s="14" t="e">
        <f t="shared" si="182"/>
        <v>#NUM!</v>
      </c>
      <c r="FH168" s="22" t="e">
        <f t="shared" si="183"/>
        <v>#NUM!</v>
      </c>
      <c r="FI168" s="62" t="e">
        <f t="shared" si="131"/>
        <v>#NUM!</v>
      </c>
      <c r="FJ168" s="62">
        <f ca="1">AVERAGE(OFFSET($FI$3,0,0,'Données projet'!$E$16+1,1))-AVERAGE(OFFSET($H$3,0,0,'Données projet'!$E$16+1,1))</f>
        <v>248.75689726928428</v>
      </c>
      <c r="FK168" s="62">
        <f t="shared" si="156"/>
        <v>232.02291680388336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projet'!$B$16,Paramètres!$A$1:$I$89,3,0)*0.475*44/12</f>
        <v>0</v>
      </c>
      <c r="FR168" s="23">
        <f>EXP(-LN(2)/25)*FR167+(1-EXP(-LN(2)/25))/(LN(2)/25)*Calculateur!FM168*Calculateur!FO168*VLOOKUP('Données projet'!$B$16,Paramètres!$A$1:$I$89,3,0)*0.475*44/12</f>
        <v>0</v>
      </c>
      <c r="FS168" s="23">
        <f>EXP(-LN(2)/2)*FS167+(1-EXP(-LN(2)/2))/(LN(2)/2)*FM168*FP168*VLOOKUP('Données projet'!$B$16,Paramètres!$A$1:$I$89,3,0)*0.475*44/12</f>
        <v>0</v>
      </c>
      <c r="FT168" s="24">
        <f t="shared" si="184"/>
        <v>0</v>
      </c>
      <c r="FU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68.331448531162607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5.1159076974727213E-13</v>
      </c>
      <c r="GA168" s="18">
        <f>FZ168*VLOOKUP('Données projet'!$B$17,Paramètres!$A$1:$I$89,3,0)*VLOOKUP('Données projet'!$B$17,Paramètres!$A$1:$I$89,5,0)</f>
        <v>3.0593128030886877E-13</v>
      </c>
      <c r="GB168" s="14">
        <f t="shared" si="185"/>
        <v>4.0350537939347394E-12</v>
      </c>
      <c r="GC168" s="22">
        <f t="shared" si="186"/>
        <v>7.5605490043076185E-12</v>
      </c>
      <c r="GD168" s="62">
        <f t="shared" si="134"/>
        <v>287.21531128093716</v>
      </c>
      <c r="GE168" s="62">
        <f ca="1">AVERAGE(OFFSET($GD$3,0,0,'Données projet'!$E$17+1,1))-AVERAGE(OFFSET($H$3,0,0,'Données projet'!$E$17+1,1))</f>
        <v>315.909549580511</v>
      </c>
      <c r="GF168" s="62">
        <f t="shared" si="158"/>
        <v>208.56856525402051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projet'!$B$17,Paramètres!$A$1:$I$89,3,0)*0.475*44/12</f>
        <v>0</v>
      </c>
      <c r="GM168" s="23">
        <f>EXP(-LN(2)/25)*GM167+(1-EXP(-LN(2)/25))/(LN(2)/25)*Calculateur!GH168*Calculateur!GJ168*VLOOKUP('Données projet'!$B$17,Paramètres!$A$1:$I$89,3,0)*0.475*44/12</f>
        <v>0</v>
      </c>
      <c r="GN168" s="23">
        <f>EXP(-LN(2)/2)*GN167+(1-EXP(-LN(2)/2))/(LN(2)/2)*GH168*GK168*VLOOKUP('Données projet'!$B$17,Paramètres!$A$1:$I$89,3,0)*0.475*44/12</f>
        <v>0</v>
      </c>
      <c r="GO168" s="23">
        <f t="shared" si="187"/>
        <v>0</v>
      </c>
      <c r="GP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68.331448531162607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1.1368683772161603E-13</v>
      </c>
      <c r="GV168" s="18">
        <f>GU168*VLOOKUP('Données projet'!$B$18,Paramètres!$A$1:$I$89,3,0)*VLOOKUP('Données projet'!$B$18,Paramètres!$A$1:$I$89,5,0)</f>
        <v>7.626113074366004E-14</v>
      </c>
      <c r="GW168" s="14">
        <f t="shared" si="188"/>
        <v>1.1823749172251317E-12</v>
      </c>
      <c r="GX168" s="22">
        <f t="shared" si="189"/>
        <v>2.1921244502123119E-12</v>
      </c>
      <c r="GY168" s="62">
        <f t="shared" si="137"/>
        <v>287.21531128093181</v>
      </c>
      <c r="GZ168" s="62">
        <f ca="1">AVERAGE(OFFSET($GY$3,0,0,'Données projet'!$E$18+1,1))-AVERAGE(OFFSET($H$3,0,0,'Données projet'!$E$18+1,1))</f>
        <v>254.35742752782755</v>
      </c>
      <c r="HA168" s="62">
        <f t="shared" si="160"/>
        <v>171.79611712137395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>
        <f>EXP(-LN(2)/35)*HG167+(1-EXP(-LN(2)/35))/(LN(2)/35)*HC168*HD168*VLOOKUP('Données projet'!$B$18,Paramètres!$A$1:$I$89,3,0)*0.475*44/12</f>
        <v>0</v>
      </c>
      <c r="HH168" s="23">
        <f>EXP(-LN(2)/25)*HH167+(1-EXP(-LN(2)/25))/(LN(2)/25)*Calculateur!HC168*Calculateur!HE168*VLOOKUP('Données projet'!$B$18,Paramètres!$A$1:$I$89,3,0)*0.475*44/12</f>
        <v>0</v>
      </c>
      <c r="HI168" s="23">
        <f>EXP(-LN(2)/2)*HI167+(1-EXP(-LN(2)/2))/(LN(2)/2)*HC168*HF168*VLOOKUP('Données projet'!$B$18,Paramètres!$A$1:$I$89,3,0)*0.475*44/12</f>
        <v>0</v>
      </c>
      <c r="HJ168" s="24">
        <f t="shared" si="190"/>
        <v>0</v>
      </c>
    </row>
    <row r="169" spans="1:218" x14ac:dyDescent="0.3">
      <c r="A169" s="11">
        <f t="shared" si="161"/>
        <v>166</v>
      </c>
      <c r="B169" s="76">
        <f>'Scénario référence'!$B$16*5+'Scénario référence'!$B$17*0+'Scénario référence'!$B$18*5</f>
        <v>3.9405000000000001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14.448500000000001</v>
      </c>
      <c r="H169" s="69">
        <f t="shared" si="110"/>
        <v>161.30656666666667</v>
      </c>
      <c r="I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68.360394168824698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210.54472399593521</v>
      </c>
      <c r="T169" s="62">
        <f t="shared" si="142"/>
        <v>181.14158435194193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68.360394168824698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289.05608923588198</v>
      </c>
      <c r="AO169" s="62">
        <f t="shared" si="144"/>
        <v>220.06639020312738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68.360394168824698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>
        <f>BD169*VLOOKUP('Données projet'!$B$11,Paramètres!$A$1:$I$89,3,0)*VLOOKUP('Données projet'!$B$11,Paramètres!$A$1:$I$89,5,0)</f>
        <v>0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299.54950406029354</v>
      </c>
      <c r="BJ169" s="62">
        <f t="shared" si="146"/>
        <v>208.26364698165739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68.360394168824698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>
        <f>BY169*VLOOKUP('Données projet'!$B$12,Paramètres!$A$1:$I$89,3,0)*VLOOKUP('Données projet'!$B$12,Paramètres!$A$1:$I$89,5,0)</f>
        <v>0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441.30518831297212</v>
      </c>
      <c r="CE169" s="62">
        <f t="shared" si="148"/>
        <v>270.42872405271851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68.360394168824698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-1.1368683772161603E-13</v>
      </c>
      <c r="CU169" s="18">
        <f>CT169*VLOOKUP('Données projet'!$B$13,Paramètres!$A$1:$I$89,3,0)*VLOOKUP('Données projet'!$B$13,Paramètres!$A$1:$I$89,5,0)</f>
        <v>-9.9316821433603781E-14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310.81258463659196</v>
      </c>
      <c r="CZ169" s="62">
        <f t="shared" si="150"/>
        <v>287.31099756692083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68.360394168824698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>
        <f>DO169*VLOOKUP('Données projet'!$B$14,Paramètres!$A$1:$I$89,3,0)*VLOOKUP('Données projet'!$B$14,Paramètres!$A$1:$I$89,5,0)</f>
        <v>0</v>
      </c>
      <c r="DQ169" s="14" t="e">
        <f t="shared" si="176"/>
        <v>#NUM!</v>
      </c>
      <c r="DR169" s="22" t="e">
        <f t="shared" si="177"/>
        <v>#NUM!</v>
      </c>
      <c r="DS169" s="62" t="e">
        <f t="shared" si="125"/>
        <v>#NUM!</v>
      </c>
      <c r="DT169" s="62">
        <f ca="1">AVERAGE(OFFSET($DS$3,0,0,'Données projet'!$E$14+1,1))-AVERAGE(OFFSET($H$3,0,0,'Données projet'!$E$14+1,1))</f>
        <v>431.19274104373625</v>
      </c>
      <c r="DU169" s="62">
        <f t="shared" si="152"/>
        <v>264.67919175178133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68.360394168824698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-6.2527760746888816E-13</v>
      </c>
      <c r="EK169" s="18">
        <f>EJ169*VLOOKUP('Données projet'!$B$15,Paramètres!$A$1:$I$89,3,0)*VLOOKUP('Données projet'!$B$15,Paramètres!$A$1:$I$89,5,0)</f>
        <v>-2.9262992029543964E-13</v>
      </c>
      <c r="EL169" s="14" t="e">
        <f t="shared" si="179"/>
        <v>#NUM!</v>
      </c>
      <c r="EM169" s="22" t="e">
        <f t="shared" si="180"/>
        <v>#NUM!</v>
      </c>
      <c r="EN169" s="62" t="e">
        <f t="shared" si="128"/>
        <v>#NUM!</v>
      </c>
      <c r="EO169" s="62">
        <f ca="1">AVERAGE(OFFSET($EN$3,0,0,'Données projet'!$E$15+1,1))-AVERAGE(OFFSET($H$3,0,0,'Données projet'!$E$15+1,1))</f>
        <v>291.68530745507815</v>
      </c>
      <c r="EP169" s="62">
        <f t="shared" si="154"/>
        <v>175.95121106728979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0</v>
      </c>
      <c r="EZ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68.360394168824698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-1.1368683772161603E-13</v>
      </c>
      <c r="FF169" s="18">
        <f>FE169*VLOOKUP('Données projet'!$B$16,Paramètres!$A$1:$I$89,3,0)*VLOOKUP('Données projet'!$B$16,Paramètres!$A$1:$I$89,5,0)</f>
        <v>-7.4487616075202823E-14</v>
      </c>
      <c r="FG169" s="14" t="e">
        <f t="shared" si="182"/>
        <v>#NUM!</v>
      </c>
      <c r="FH169" s="22" t="e">
        <f t="shared" si="183"/>
        <v>#NUM!</v>
      </c>
      <c r="FI169" s="62" t="e">
        <f t="shared" si="131"/>
        <v>#NUM!</v>
      </c>
      <c r="FJ169" s="62">
        <f ca="1">AVERAGE(OFFSET($FI$3,0,0,'Données projet'!$E$16+1,1))-AVERAGE(OFFSET($H$3,0,0,'Données projet'!$E$16+1,1))</f>
        <v>248.75689726928428</v>
      </c>
      <c r="FK169" s="62">
        <f t="shared" si="156"/>
        <v>232.02291680388336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projet'!$B$16,Paramètres!$A$1:$I$89,3,0)*0.475*44/12</f>
        <v>0</v>
      </c>
      <c r="FR169" s="23">
        <f>EXP(-LN(2)/25)*FR168+(1-EXP(-LN(2)/25))/(LN(2)/25)*Calculateur!FM169*Calculateur!FO169*VLOOKUP('Données projet'!$B$16,Paramètres!$A$1:$I$89,3,0)*0.475*44/12</f>
        <v>0</v>
      </c>
      <c r="FS169" s="23">
        <f>EXP(-LN(2)/2)*FS168+(1-EXP(-LN(2)/2))/(LN(2)/2)*FM169*FP169*VLOOKUP('Données projet'!$B$16,Paramètres!$A$1:$I$89,3,0)*0.475*44/12</f>
        <v>0</v>
      </c>
      <c r="FT169" s="24">
        <f t="shared" si="184"/>
        <v>0</v>
      </c>
      <c r="FU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68.360394168824698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5.1159076974727213E-13</v>
      </c>
      <c r="GA169" s="18">
        <f>FZ169*VLOOKUP('Données projet'!$B$17,Paramètres!$A$1:$I$89,3,0)*VLOOKUP('Données projet'!$B$17,Paramètres!$A$1:$I$89,5,0)</f>
        <v>3.0593128030886877E-13</v>
      </c>
      <c r="GB169" s="14">
        <f t="shared" si="185"/>
        <v>4.0350537939347394E-12</v>
      </c>
      <c r="GC169" s="22">
        <f t="shared" si="186"/>
        <v>7.5605490043076185E-12</v>
      </c>
      <c r="GD169" s="62">
        <f t="shared" si="134"/>
        <v>287.32144528569813</v>
      </c>
      <c r="GE169" s="62">
        <f ca="1">AVERAGE(OFFSET($GD$3,0,0,'Données projet'!$E$17+1,1))-AVERAGE(OFFSET($H$3,0,0,'Données projet'!$E$17+1,1))</f>
        <v>315.909549580511</v>
      </c>
      <c r="GF169" s="62">
        <f t="shared" si="158"/>
        <v>208.56856525402051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projet'!$B$17,Paramètres!$A$1:$I$89,3,0)*0.475*44/12</f>
        <v>0</v>
      </c>
      <c r="GM169" s="23">
        <f>EXP(-LN(2)/25)*GM168+(1-EXP(-LN(2)/25))/(LN(2)/25)*Calculateur!GH169*Calculateur!GJ169*VLOOKUP('Données projet'!$B$17,Paramètres!$A$1:$I$89,3,0)*0.475*44/12</f>
        <v>0</v>
      </c>
      <c r="GN169" s="23">
        <f>EXP(-LN(2)/2)*GN168+(1-EXP(-LN(2)/2))/(LN(2)/2)*GH169*GK169*VLOOKUP('Données projet'!$B$17,Paramètres!$A$1:$I$89,3,0)*0.475*44/12</f>
        <v>0</v>
      </c>
      <c r="GO169" s="23">
        <f t="shared" si="187"/>
        <v>0</v>
      </c>
      <c r="GP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68.360394168824698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1.1368683772161603E-13</v>
      </c>
      <c r="GV169" s="18">
        <f>GU169*VLOOKUP('Données projet'!$B$18,Paramètres!$A$1:$I$89,3,0)*VLOOKUP('Données projet'!$B$18,Paramètres!$A$1:$I$89,5,0)</f>
        <v>7.626113074366004E-14</v>
      </c>
      <c r="GW169" s="14">
        <f t="shared" si="188"/>
        <v>1.1823749172251317E-12</v>
      </c>
      <c r="GX169" s="22">
        <f t="shared" si="189"/>
        <v>2.1921244502123119E-12</v>
      </c>
      <c r="GY169" s="62">
        <f t="shared" si="137"/>
        <v>287.32144528569279</v>
      </c>
      <c r="GZ169" s="62">
        <f ca="1">AVERAGE(OFFSET($GY$3,0,0,'Données projet'!$E$18+1,1))-AVERAGE(OFFSET($H$3,0,0,'Données projet'!$E$18+1,1))</f>
        <v>254.35742752782755</v>
      </c>
      <c r="HA169" s="62">
        <f t="shared" si="160"/>
        <v>171.79611712137395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>
        <f>EXP(-LN(2)/35)*HG168+(1-EXP(-LN(2)/35))/(LN(2)/35)*HC169*HD169*VLOOKUP('Données projet'!$B$18,Paramètres!$A$1:$I$89,3,0)*0.475*44/12</f>
        <v>0</v>
      </c>
      <c r="HH169" s="23">
        <f>EXP(-LN(2)/25)*HH168+(1-EXP(-LN(2)/25))/(LN(2)/25)*Calculateur!HC169*Calculateur!HE169*VLOOKUP('Données projet'!$B$18,Paramètres!$A$1:$I$89,3,0)*0.475*44/12</f>
        <v>0</v>
      </c>
      <c r="HI169" s="23">
        <f>EXP(-LN(2)/2)*HI168+(1-EXP(-LN(2)/2))/(LN(2)/2)*HC169*HF169*VLOOKUP('Données projet'!$B$18,Paramètres!$A$1:$I$89,3,0)*0.475*44/12</f>
        <v>0</v>
      </c>
      <c r="HJ169" s="24">
        <f t="shared" si="190"/>
        <v>0</v>
      </c>
    </row>
    <row r="170" spans="1:218" x14ac:dyDescent="0.3">
      <c r="A170" s="11">
        <f t="shared" si="161"/>
        <v>167</v>
      </c>
      <c r="B170" s="76">
        <f>'Scénario référence'!$B$16*5+'Scénario référence'!$B$17*0+'Scénario référence'!$B$18*5</f>
        <v>3.9405000000000001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14.448500000000001</v>
      </c>
      <c r="H170" s="69">
        <f t="shared" si="110"/>
        <v>161.30656666666667</v>
      </c>
      <c r="I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68.388837664386088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210.54472399593521</v>
      </c>
      <c r="T170" s="62">
        <f t="shared" si="142"/>
        <v>181.14158435194193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68.388837664386088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289.05608923588198</v>
      </c>
      <c r="AO170" s="62">
        <f t="shared" si="144"/>
        <v>220.06639020312738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68.388837664386088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>
        <f>BD170*VLOOKUP('Données projet'!$B$11,Paramètres!$A$1:$I$89,3,0)*VLOOKUP('Données projet'!$B$11,Paramètres!$A$1:$I$89,5,0)</f>
        <v>0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299.54950406029354</v>
      </c>
      <c r="BJ170" s="62">
        <f t="shared" si="146"/>
        <v>208.26364698165739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68.388837664386088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>
        <f>BY170*VLOOKUP('Données projet'!$B$12,Paramètres!$A$1:$I$89,3,0)*VLOOKUP('Données projet'!$B$12,Paramètres!$A$1:$I$89,5,0)</f>
        <v>0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441.30518831297212</v>
      </c>
      <c r="CE170" s="62">
        <f t="shared" si="148"/>
        <v>270.42872405271851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68.388837664386088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-1.1368683772161603E-13</v>
      </c>
      <c r="CU170" s="18">
        <f>CT170*VLOOKUP('Données projet'!$B$13,Paramètres!$A$1:$I$89,3,0)*VLOOKUP('Données projet'!$B$13,Paramètres!$A$1:$I$89,5,0)</f>
        <v>-9.9316821433603781E-14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310.81258463659196</v>
      </c>
      <c r="CZ170" s="62">
        <f t="shared" si="150"/>
        <v>287.31099756692083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68.388837664386088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>
        <f>DO170*VLOOKUP('Données projet'!$B$14,Paramètres!$A$1:$I$89,3,0)*VLOOKUP('Données projet'!$B$14,Paramètres!$A$1:$I$89,5,0)</f>
        <v>0</v>
      </c>
      <c r="DQ170" s="14" t="e">
        <f t="shared" si="176"/>
        <v>#NUM!</v>
      </c>
      <c r="DR170" s="22" t="e">
        <f t="shared" si="177"/>
        <v>#NUM!</v>
      </c>
      <c r="DS170" s="62" t="e">
        <f t="shared" si="125"/>
        <v>#NUM!</v>
      </c>
      <c r="DT170" s="62">
        <f ca="1">AVERAGE(OFFSET($DS$3,0,0,'Données projet'!$E$14+1,1))-AVERAGE(OFFSET($H$3,0,0,'Données projet'!$E$14+1,1))</f>
        <v>431.19274104373625</v>
      </c>
      <c r="DU170" s="62">
        <f t="shared" si="152"/>
        <v>264.67919175178133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68.388837664386088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-6.2527760746888816E-13</v>
      </c>
      <c r="EK170" s="18">
        <f>EJ170*VLOOKUP('Données projet'!$B$15,Paramètres!$A$1:$I$89,3,0)*VLOOKUP('Données projet'!$B$15,Paramètres!$A$1:$I$89,5,0)</f>
        <v>-2.9262992029543964E-13</v>
      </c>
      <c r="EL170" s="14" t="e">
        <f t="shared" si="179"/>
        <v>#NUM!</v>
      </c>
      <c r="EM170" s="22" t="e">
        <f t="shared" si="180"/>
        <v>#NUM!</v>
      </c>
      <c r="EN170" s="62" t="e">
        <f t="shared" si="128"/>
        <v>#NUM!</v>
      </c>
      <c r="EO170" s="62">
        <f ca="1">AVERAGE(OFFSET($EN$3,0,0,'Données projet'!$E$15+1,1))-AVERAGE(OFFSET($H$3,0,0,'Données projet'!$E$15+1,1))</f>
        <v>291.68530745507815</v>
      </c>
      <c r="EP170" s="62">
        <f t="shared" si="154"/>
        <v>175.95121106728979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</v>
      </c>
      <c r="EZ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68.388837664386088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-1.1368683772161603E-13</v>
      </c>
      <c r="FF170" s="18">
        <f>FE170*VLOOKUP('Données projet'!$B$16,Paramètres!$A$1:$I$89,3,0)*VLOOKUP('Données projet'!$B$16,Paramètres!$A$1:$I$89,5,0)</f>
        <v>-7.4487616075202823E-14</v>
      </c>
      <c r="FG170" s="14" t="e">
        <f t="shared" si="182"/>
        <v>#NUM!</v>
      </c>
      <c r="FH170" s="22" t="e">
        <f t="shared" si="183"/>
        <v>#NUM!</v>
      </c>
      <c r="FI170" s="62" t="e">
        <f t="shared" si="131"/>
        <v>#NUM!</v>
      </c>
      <c r="FJ170" s="62">
        <f ca="1">AVERAGE(OFFSET($FI$3,0,0,'Données projet'!$E$16+1,1))-AVERAGE(OFFSET($H$3,0,0,'Données projet'!$E$16+1,1))</f>
        <v>248.75689726928428</v>
      </c>
      <c r="FK170" s="62">
        <f t="shared" si="156"/>
        <v>232.02291680388336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projet'!$B$16,Paramètres!$A$1:$I$89,3,0)*0.475*44/12</f>
        <v>0</v>
      </c>
      <c r="FR170" s="23">
        <f>EXP(-LN(2)/25)*FR169+(1-EXP(-LN(2)/25))/(LN(2)/25)*Calculateur!FM170*Calculateur!FO170*VLOOKUP('Données projet'!$B$16,Paramètres!$A$1:$I$89,3,0)*0.475*44/12</f>
        <v>0</v>
      </c>
      <c r="FS170" s="23">
        <f>EXP(-LN(2)/2)*FS169+(1-EXP(-LN(2)/2))/(LN(2)/2)*FM170*FP170*VLOOKUP('Données projet'!$B$16,Paramètres!$A$1:$I$89,3,0)*0.475*44/12</f>
        <v>0</v>
      </c>
      <c r="FT170" s="24">
        <f t="shared" si="184"/>
        <v>0</v>
      </c>
      <c r="FU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68.388837664386088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5.1159076974727213E-13</v>
      </c>
      <c r="GA170" s="18">
        <f>FZ170*VLOOKUP('Données projet'!$B$17,Paramètres!$A$1:$I$89,3,0)*VLOOKUP('Données projet'!$B$17,Paramètres!$A$1:$I$89,5,0)</f>
        <v>3.0593128030886877E-13</v>
      </c>
      <c r="GB170" s="14">
        <f t="shared" si="185"/>
        <v>4.0350537939347394E-12</v>
      </c>
      <c r="GC170" s="22">
        <f t="shared" si="186"/>
        <v>7.5605490043076185E-12</v>
      </c>
      <c r="GD170" s="62">
        <f t="shared" si="134"/>
        <v>287.42573810275655</v>
      </c>
      <c r="GE170" s="62">
        <f ca="1">AVERAGE(OFFSET($GD$3,0,0,'Données projet'!$E$17+1,1))-AVERAGE(OFFSET($H$3,0,0,'Données projet'!$E$17+1,1))</f>
        <v>315.909549580511</v>
      </c>
      <c r="GF170" s="62">
        <f t="shared" si="158"/>
        <v>208.56856525402051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projet'!$B$17,Paramètres!$A$1:$I$89,3,0)*0.475*44/12</f>
        <v>0</v>
      </c>
      <c r="GM170" s="23">
        <f>EXP(-LN(2)/25)*GM169+(1-EXP(-LN(2)/25))/(LN(2)/25)*Calculateur!GH170*Calculateur!GJ170*VLOOKUP('Données projet'!$B$17,Paramètres!$A$1:$I$89,3,0)*0.475*44/12</f>
        <v>0</v>
      </c>
      <c r="GN170" s="23">
        <f>EXP(-LN(2)/2)*GN169+(1-EXP(-LN(2)/2))/(LN(2)/2)*GH170*GK170*VLOOKUP('Données projet'!$B$17,Paramètres!$A$1:$I$89,3,0)*0.475*44/12</f>
        <v>0</v>
      </c>
      <c r="GO170" s="23">
        <f t="shared" si="187"/>
        <v>0</v>
      </c>
      <c r="GP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68.388837664386088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1.1368683772161603E-13</v>
      </c>
      <c r="GV170" s="18">
        <f>GU170*VLOOKUP('Données projet'!$B$18,Paramètres!$A$1:$I$89,3,0)*VLOOKUP('Données projet'!$B$18,Paramètres!$A$1:$I$89,5,0)</f>
        <v>7.626113074366004E-14</v>
      </c>
      <c r="GW170" s="14">
        <f t="shared" si="188"/>
        <v>1.1823749172251317E-12</v>
      </c>
      <c r="GX170" s="22">
        <f t="shared" si="189"/>
        <v>2.1921244502123119E-12</v>
      </c>
      <c r="GY170" s="62">
        <f t="shared" si="137"/>
        <v>287.42573810275121</v>
      </c>
      <c r="GZ170" s="62">
        <f ca="1">AVERAGE(OFFSET($GY$3,0,0,'Données projet'!$E$18+1,1))-AVERAGE(OFFSET($H$3,0,0,'Données projet'!$E$18+1,1))</f>
        <v>254.35742752782755</v>
      </c>
      <c r="HA170" s="62">
        <f t="shared" si="160"/>
        <v>171.79611712137395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>
        <f>EXP(-LN(2)/35)*HG169+(1-EXP(-LN(2)/35))/(LN(2)/35)*HC170*HD170*VLOOKUP('Données projet'!$B$18,Paramètres!$A$1:$I$89,3,0)*0.475*44/12</f>
        <v>0</v>
      </c>
      <c r="HH170" s="23">
        <f>EXP(-LN(2)/25)*HH169+(1-EXP(-LN(2)/25))/(LN(2)/25)*Calculateur!HC170*Calculateur!HE170*VLOOKUP('Données projet'!$B$18,Paramètres!$A$1:$I$89,3,0)*0.475*44/12</f>
        <v>0</v>
      </c>
      <c r="HI170" s="23">
        <f>EXP(-LN(2)/2)*HI169+(1-EXP(-LN(2)/2))/(LN(2)/2)*HC170*HF170*VLOOKUP('Données projet'!$B$18,Paramètres!$A$1:$I$89,3,0)*0.475*44/12</f>
        <v>0</v>
      </c>
      <c r="HJ170" s="24">
        <f t="shared" si="190"/>
        <v>0</v>
      </c>
    </row>
    <row r="171" spans="1:218" x14ac:dyDescent="0.3">
      <c r="A171" s="11">
        <f t="shared" si="161"/>
        <v>168</v>
      </c>
      <c r="B171" s="76">
        <f>'Scénario référence'!$B$16*5+'Scénario référence'!$B$17*0+'Scénario référence'!$B$18*5</f>
        <v>3.9405000000000001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14.448500000000001</v>
      </c>
      <c r="H171" s="69">
        <f t="shared" si="110"/>
        <v>161.30656666666667</v>
      </c>
      <c r="I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68.416787728889631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210.54472399593521</v>
      </c>
      <c r="T171" s="62">
        <f t="shared" si="142"/>
        <v>181.14158435194193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68.416787728889631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289.05608923588198</v>
      </c>
      <c r="AO171" s="62">
        <f t="shared" si="144"/>
        <v>220.06639020312738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68.416787728889631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>
        <f>BD171*VLOOKUP('Données projet'!$B$11,Paramètres!$A$1:$I$89,3,0)*VLOOKUP('Données projet'!$B$11,Paramètres!$A$1:$I$89,5,0)</f>
        <v>0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299.54950406029354</v>
      </c>
      <c r="BJ171" s="62">
        <f t="shared" si="146"/>
        <v>208.26364698165739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68.416787728889631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>
        <f>BY171*VLOOKUP('Données projet'!$B$12,Paramètres!$A$1:$I$89,3,0)*VLOOKUP('Données projet'!$B$12,Paramètres!$A$1:$I$89,5,0)</f>
        <v>0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441.30518831297212</v>
      </c>
      <c r="CE171" s="62">
        <f t="shared" si="148"/>
        <v>270.42872405271851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68.416787728889631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-1.1368683772161603E-13</v>
      </c>
      <c r="CU171" s="18">
        <f>CT171*VLOOKUP('Données projet'!$B$13,Paramètres!$A$1:$I$89,3,0)*VLOOKUP('Données projet'!$B$13,Paramètres!$A$1:$I$89,5,0)</f>
        <v>-9.9316821433603781E-14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310.81258463659196</v>
      </c>
      <c r="CZ171" s="62">
        <f t="shared" si="150"/>
        <v>287.31099756692083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68.416787728889631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>
        <f>DO171*VLOOKUP('Données projet'!$B$14,Paramètres!$A$1:$I$89,3,0)*VLOOKUP('Données projet'!$B$14,Paramètres!$A$1:$I$89,5,0)</f>
        <v>0</v>
      </c>
      <c r="DQ171" s="14" t="e">
        <f t="shared" si="176"/>
        <v>#NUM!</v>
      </c>
      <c r="DR171" s="22" t="e">
        <f t="shared" si="177"/>
        <v>#NUM!</v>
      </c>
      <c r="DS171" s="62" t="e">
        <f t="shared" si="125"/>
        <v>#NUM!</v>
      </c>
      <c r="DT171" s="62">
        <f ca="1">AVERAGE(OFFSET($DS$3,0,0,'Données projet'!$E$14+1,1))-AVERAGE(OFFSET($H$3,0,0,'Données projet'!$E$14+1,1))</f>
        <v>431.19274104373625</v>
      </c>
      <c r="DU171" s="62">
        <f t="shared" si="152"/>
        <v>264.67919175178133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68.416787728889631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-6.2527760746888816E-13</v>
      </c>
      <c r="EK171" s="18">
        <f>EJ171*VLOOKUP('Données projet'!$B$15,Paramètres!$A$1:$I$89,3,0)*VLOOKUP('Données projet'!$B$15,Paramètres!$A$1:$I$89,5,0)</f>
        <v>-2.9262992029543964E-13</v>
      </c>
      <c r="EL171" s="14" t="e">
        <f t="shared" si="179"/>
        <v>#NUM!</v>
      </c>
      <c r="EM171" s="22" t="e">
        <f t="shared" si="180"/>
        <v>#NUM!</v>
      </c>
      <c r="EN171" s="62" t="e">
        <f t="shared" si="128"/>
        <v>#NUM!</v>
      </c>
      <c r="EO171" s="62">
        <f ca="1">AVERAGE(OFFSET($EN$3,0,0,'Données projet'!$E$15+1,1))-AVERAGE(OFFSET($H$3,0,0,'Données projet'!$E$15+1,1))</f>
        <v>291.68530745507815</v>
      </c>
      <c r="EP171" s="62">
        <f t="shared" si="154"/>
        <v>175.95121106728979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</v>
      </c>
      <c r="EZ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68.416787728889631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-1.1368683772161603E-13</v>
      </c>
      <c r="FF171" s="18">
        <f>FE171*VLOOKUP('Données projet'!$B$16,Paramètres!$A$1:$I$89,3,0)*VLOOKUP('Données projet'!$B$16,Paramètres!$A$1:$I$89,5,0)</f>
        <v>-7.4487616075202823E-14</v>
      </c>
      <c r="FG171" s="14" t="e">
        <f t="shared" si="182"/>
        <v>#NUM!</v>
      </c>
      <c r="FH171" s="22" t="e">
        <f t="shared" si="183"/>
        <v>#NUM!</v>
      </c>
      <c r="FI171" s="62" t="e">
        <f t="shared" si="131"/>
        <v>#NUM!</v>
      </c>
      <c r="FJ171" s="62">
        <f ca="1">AVERAGE(OFFSET($FI$3,0,0,'Données projet'!$E$16+1,1))-AVERAGE(OFFSET($H$3,0,0,'Données projet'!$E$16+1,1))</f>
        <v>248.75689726928428</v>
      </c>
      <c r="FK171" s="62">
        <f t="shared" si="156"/>
        <v>232.02291680388336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projet'!$B$16,Paramètres!$A$1:$I$89,3,0)*0.475*44/12</f>
        <v>0</v>
      </c>
      <c r="FR171" s="23">
        <f>EXP(-LN(2)/25)*FR170+(1-EXP(-LN(2)/25))/(LN(2)/25)*Calculateur!FM171*Calculateur!FO171*VLOOKUP('Données projet'!$B$16,Paramètres!$A$1:$I$89,3,0)*0.475*44/12</f>
        <v>0</v>
      </c>
      <c r="FS171" s="23">
        <f>EXP(-LN(2)/2)*FS170+(1-EXP(-LN(2)/2))/(LN(2)/2)*FM171*FP171*VLOOKUP('Données projet'!$B$16,Paramètres!$A$1:$I$89,3,0)*0.475*44/12</f>
        <v>0</v>
      </c>
      <c r="FT171" s="24">
        <f t="shared" si="184"/>
        <v>0</v>
      </c>
      <c r="FU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68.416787728889631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5.1159076974727213E-13</v>
      </c>
      <c r="GA171" s="18">
        <f>FZ171*VLOOKUP('Données projet'!$B$17,Paramètres!$A$1:$I$89,3,0)*VLOOKUP('Données projet'!$B$17,Paramètres!$A$1:$I$89,5,0)</f>
        <v>3.0593128030886877E-13</v>
      </c>
      <c r="GB171" s="14">
        <f t="shared" si="185"/>
        <v>4.0350537939347394E-12</v>
      </c>
      <c r="GC171" s="22">
        <f t="shared" si="186"/>
        <v>7.5605490043076185E-12</v>
      </c>
      <c r="GD171" s="62">
        <f t="shared" si="134"/>
        <v>287.52822167260285</v>
      </c>
      <c r="GE171" s="62">
        <f ca="1">AVERAGE(OFFSET($GD$3,0,0,'Données projet'!$E$17+1,1))-AVERAGE(OFFSET($H$3,0,0,'Données projet'!$E$17+1,1))</f>
        <v>315.909549580511</v>
      </c>
      <c r="GF171" s="62">
        <f t="shared" si="158"/>
        <v>208.56856525402051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projet'!$B$17,Paramètres!$A$1:$I$89,3,0)*0.475*44/12</f>
        <v>0</v>
      </c>
      <c r="GM171" s="23">
        <f>EXP(-LN(2)/25)*GM170+(1-EXP(-LN(2)/25))/(LN(2)/25)*Calculateur!GH171*Calculateur!GJ171*VLOOKUP('Données projet'!$B$17,Paramètres!$A$1:$I$89,3,0)*0.475*44/12</f>
        <v>0</v>
      </c>
      <c r="GN171" s="23">
        <f>EXP(-LN(2)/2)*GN170+(1-EXP(-LN(2)/2))/(LN(2)/2)*GH171*GK171*VLOOKUP('Données projet'!$B$17,Paramètres!$A$1:$I$89,3,0)*0.475*44/12</f>
        <v>0</v>
      </c>
      <c r="GO171" s="23">
        <f t="shared" si="187"/>
        <v>0</v>
      </c>
      <c r="GP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68.416787728889631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1.1368683772161603E-13</v>
      </c>
      <c r="GV171" s="18">
        <f>GU171*VLOOKUP('Données projet'!$B$18,Paramètres!$A$1:$I$89,3,0)*VLOOKUP('Données projet'!$B$18,Paramètres!$A$1:$I$89,5,0)</f>
        <v>7.626113074366004E-14</v>
      </c>
      <c r="GW171" s="14">
        <f t="shared" si="188"/>
        <v>1.1823749172251317E-12</v>
      </c>
      <c r="GX171" s="22">
        <f t="shared" si="189"/>
        <v>2.1921244502123119E-12</v>
      </c>
      <c r="GY171" s="62">
        <f t="shared" si="137"/>
        <v>287.52822167259751</v>
      </c>
      <c r="GZ171" s="62">
        <f ca="1">AVERAGE(OFFSET($GY$3,0,0,'Données projet'!$E$18+1,1))-AVERAGE(OFFSET($H$3,0,0,'Données projet'!$E$18+1,1))</f>
        <v>254.35742752782755</v>
      </c>
      <c r="HA171" s="62">
        <f t="shared" si="160"/>
        <v>171.79611712137395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>
        <f>EXP(-LN(2)/35)*HG170+(1-EXP(-LN(2)/35))/(LN(2)/35)*HC171*HD171*VLOOKUP('Données projet'!$B$18,Paramètres!$A$1:$I$89,3,0)*0.475*44/12</f>
        <v>0</v>
      </c>
      <c r="HH171" s="23">
        <f>EXP(-LN(2)/25)*HH170+(1-EXP(-LN(2)/25))/(LN(2)/25)*Calculateur!HC171*Calculateur!HE171*VLOOKUP('Données projet'!$B$18,Paramètres!$A$1:$I$89,3,0)*0.475*44/12</f>
        <v>0</v>
      </c>
      <c r="HI171" s="23">
        <f>EXP(-LN(2)/2)*HI170+(1-EXP(-LN(2)/2))/(LN(2)/2)*HC171*HF171*VLOOKUP('Données projet'!$B$18,Paramètres!$A$1:$I$89,3,0)*0.475*44/12</f>
        <v>0</v>
      </c>
      <c r="HJ171" s="24">
        <f t="shared" si="190"/>
        <v>0</v>
      </c>
    </row>
    <row r="172" spans="1:218" x14ac:dyDescent="0.3">
      <c r="A172" s="11">
        <f t="shared" si="161"/>
        <v>169</v>
      </c>
      <c r="B172" s="76">
        <f>'Scénario référence'!$B$16*5+'Scénario référence'!$B$17*0+'Scénario référence'!$B$18*5</f>
        <v>3.9405000000000001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14.448500000000001</v>
      </c>
      <c r="H172" s="69">
        <f t="shared" si="110"/>
        <v>161.30656666666667</v>
      </c>
      <c r="I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68.444252922261029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210.54472399593521</v>
      </c>
      <c r="T172" s="62">
        <f t="shared" si="142"/>
        <v>181.14158435194193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68.444252922261029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289.05608923588198</v>
      </c>
      <c r="AO172" s="62">
        <f t="shared" si="144"/>
        <v>220.06639020312738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68.444252922261029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>
        <f>BD172*VLOOKUP('Données projet'!$B$11,Paramètres!$A$1:$I$89,3,0)*VLOOKUP('Données projet'!$B$11,Paramètres!$A$1:$I$89,5,0)</f>
        <v>0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299.54950406029354</v>
      </c>
      <c r="BJ172" s="62">
        <f t="shared" si="146"/>
        <v>208.26364698165739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68.444252922261029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>
        <f>BY172*VLOOKUP('Données projet'!$B$12,Paramètres!$A$1:$I$89,3,0)*VLOOKUP('Données projet'!$B$12,Paramètres!$A$1:$I$89,5,0)</f>
        <v>0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441.30518831297212</v>
      </c>
      <c r="CE172" s="62">
        <f t="shared" si="148"/>
        <v>270.42872405271851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68.444252922261029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-1.1368683772161603E-13</v>
      </c>
      <c r="CU172" s="18">
        <f>CT172*VLOOKUP('Données projet'!$B$13,Paramètres!$A$1:$I$89,3,0)*VLOOKUP('Données projet'!$B$13,Paramètres!$A$1:$I$89,5,0)</f>
        <v>-9.9316821433603781E-14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310.81258463659196</v>
      </c>
      <c r="CZ172" s="62">
        <f t="shared" si="150"/>
        <v>287.31099756692083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68.444252922261029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>
        <f>DO172*VLOOKUP('Données projet'!$B$14,Paramètres!$A$1:$I$89,3,0)*VLOOKUP('Données projet'!$B$14,Paramètres!$A$1:$I$89,5,0)</f>
        <v>0</v>
      </c>
      <c r="DQ172" s="14" t="e">
        <f t="shared" si="176"/>
        <v>#NUM!</v>
      </c>
      <c r="DR172" s="22" t="e">
        <f t="shared" si="177"/>
        <v>#NUM!</v>
      </c>
      <c r="DS172" s="62" t="e">
        <f t="shared" si="125"/>
        <v>#NUM!</v>
      </c>
      <c r="DT172" s="62">
        <f ca="1">AVERAGE(OFFSET($DS$3,0,0,'Données projet'!$E$14+1,1))-AVERAGE(OFFSET($H$3,0,0,'Données projet'!$E$14+1,1))</f>
        <v>431.19274104373625</v>
      </c>
      <c r="DU172" s="62">
        <f t="shared" si="152"/>
        <v>264.67919175178133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68.444252922261029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-6.2527760746888816E-13</v>
      </c>
      <c r="EK172" s="18">
        <f>EJ172*VLOOKUP('Données projet'!$B$15,Paramètres!$A$1:$I$89,3,0)*VLOOKUP('Données projet'!$B$15,Paramètres!$A$1:$I$89,5,0)</f>
        <v>-2.9262992029543964E-13</v>
      </c>
      <c r="EL172" s="14" t="e">
        <f t="shared" si="179"/>
        <v>#NUM!</v>
      </c>
      <c r="EM172" s="22" t="e">
        <f t="shared" si="180"/>
        <v>#NUM!</v>
      </c>
      <c r="EN172" s="62" t="e">
        <f t="shared" si="128"/>
        <v>#NUM!</v>
      </c>
      <c r="EO172" s="62">
        <f ca="1">AVERAGE(OFFSET($EN$3,0,0,'Données projet'!$E$15+1,1))-AVERAGE(OFFSET($H$3,0,0,'Données projet'!$E$15+1,1))</f>
        <v>291.68530745507815</v>
      </c>
      <c r="EP172" s="62">
        <f t="shared" si="154"/>
        <v>175.95121106728979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</v>
      </c>
      <c r="EZ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68.444252922261029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-1.1368683772161603E-13</v>
      </c>
      <c r="FF172" s="18">
        <f>FE172*VLOOKUP('Données projet'!$B$16,Paramètres!$A$1:$I$89,3,0)*VLOOKUP('Données projet'!$B$16,Paramètres!$A$1:$I$89,5,0)</f>
        <v>-7.4487616075202823E-14</v>
      </c>
      <c r="FG172" s="14" t="e">
        <f t="shared" si="182"/>
        <v>#NUM!</v>
      </c>
      <c r="FH172" s="22" t="e">
        <f t="shared" si="183"/>
        <v>#NUM!</v>
      </c>
      <c r="FI172" s="62" t="e">
        <f t="shared" si="131"/>
        <v>#NUM!</v>
      </c>
      <c r="FJ172" s="62">
        <f ca="1">AVERAGE(OFFSET($FI$3,0,0,'Données projet'!$E$16+1,1))-AVERAGE(OFFSET($H$3,0,0,'Données projet'!$E$16+1,1))</f>
        <v>248.75689726928428</v>
      </c>
      <c r="FK172" s="62">
        <f t="shared" si="156"/>
        <v>232.02291680388336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projet'!$B$16,Paramètres!$A$1:$I$89,3,0)*0.475*44/12</f>
        <v>0</v>
      </c>
      <c r="FR172" s="23">
        <f>EXP(-LN(2)/25)*FR171+(1-EXP(-LN(2)/25))/(LN(2)/25)*Calculateur!FM172*Calculateur!FO172*VLOOKUP('Données projet'!$B$16,Paramètres!$A$1:$I$89,3,0)*0.475*44/12</f>
        <v>0</v>
      </c>
      <c r="FS172" s="23">
        <f>EXP(-LN(2)/2)*FS171+(1-EXP(-LN(2)/2))/(LN(2)/2)*FM172*FP172*VLOOKUP('Données projet'!$B$16,Paramètres!$A$1:$I$89,3,0)*0.475*44/12</f>
        <v>0</v>
      </c>
      <c r="FT172" s="24">
        <f t="shared" si="184"/>
        <v>0</v>
      </c>
      <c r="FU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68.444252922261029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5.1159076974727213E-13</v>
      </c>
      <c r="GA172" s="18">
        <f>FZ172*VLOOKUP('Données projet'!$B$17,Paramètres!$A$1:$I$89,3,0)*VLOOKUP('Données projet'!$B$17,Paramètres!$A$1:$I$89,5,0)</f>
        <v>3.0593128030886877E-13</v>
      </c>
      <c r="GB172" s="14">
        <f t="shared" si="185"/>
        <v>4.0350537939347394E-12</v>
      </c>
      <c r="GC172" s="22">
        <f t="shared" si="186"/>
        <v>7.5605490043076185E-12</v>
      </c>
      <c r="GD172" s="62">
        <f t="shared" si="134"/>
        <v>287.62892738163134</v>
      </c>
      <c r="GE172" s="62">
        <f ca="1">AVERAGE(OFFSET($GD$3,0,0,'Données projet'!$E$17+1,1))-AVERAGE(OFFSET($H$3,0,0,'Données projet'!$E$17+1,1))</f>
        <v>315.909549580511</v>
      </c>
      <c r="GF172" s="62">
        <f t="shared" si="158"/>
        <v>208.56856525402051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projet'!$B$17,Paramètres!$A$1:$I$89,3,0)*0.475*44/12</f>
        <v>0</v>
      </c>
      <c r="GM172" s="23">
        <f>EXP(-LN(2)/25)*GM171+(1-EXP(-LN(2)/25))/(LN(2)/25)*Calculateur!GH172*Calculateur!GJ172*VLOOKUP('Données projet'!$B$17,Paramètres!$A$1:$I$89,3,0)*0.475*44/12</f>
        <v>0</v>
      </c>
      <c r="GN172" s="23">
        <f>EXP(-LN(2)/2)*GN171+(1-EXP(-LN(2)/2))/(LN(2)/2)*GH172*GK172*VLOOKUP('Données projet'!$B$17,Paramètres!$A$1:$I$89,3,0)*0.475*44/12</f>
        <v>0</v>
      </c>
      <c r="GO172" s="23">
        <f t="shared" si="187"/>
        <v>0</v>
      </c>
      <c r="GP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68.444252922261029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1.1368683772161603E-13</v>
      </c>
      <c r="GV172" s="18">
        <f>GU172*VLOOKUP('Données projet'!$B$18,Paramètres!$A$1:$I$89,3,0)*VLOOKUP('Données projet'!$B$18,Paramètres!$A$1:$I$89,5,0)</f>
        <v>7.626113074366004E-14</v>
      </c>
      <c r="GW172" s="14">
        <f t="shared" si="188"/>
        <v>1.1823749172251317E-12</v>
      </c>
      <c r="GX172" s="22">
        <f t="shared" si="189"/>
        <v>2.1921244502123119E-12</v>
      </c>
      <c r="GY172" s="62">
        <f t="shared" si="137"/>
        <v>287.628927381626</v>
      </c>
      <c r="GZ172" s="62">
        <f ca="1">AVERAGE(OFFSET($GY$3,0,0,'Données projet'!$E$18+1,1))-AVERAGE(OFFSET($H$3,0,0,'Données projet'!$E$18+1,1))</f>
        <v>254.35742752782755</v>
      </c>
      <c r="HA172" s="62">
        <f t="shared" si="160"/>
        <v>171.79611712137395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>
        <f>EXP(-LN(2)/35)*HG171+(1-EXP(-LN(2)/35))/(LN(2)/35)*HC172*HD172*VLOOKUP('Données projet'!$B$18,Paramètres!$A$1:$I$89,3,0)*0.475*44/12</f>
        <v>0</v>
      </c>
      <c r="HH172" s="23">
        <f>EXP(-LN(2)/25)*HH171+(1-EXP(-LN(2)/25))/(LN(2)/25)*Calculateur!HC172*Calculateur!HE172*VLOOKUP('Données projet'!$B$18,Paramètres!$A$1:$I$89,3,0)*0.475*44/12</f>
        <v>0</v>
      </c>
      <c r="HI172" s="23">
        <f>EXP(-LN(2)/2)*HI171+(1-EXP(-LN(2)/2))/(LN(2)/2)*HC172*HF172*VLOOKUP('Données projet'!$B$18,Paramètres!$A$1:$I$89,3,0)*0.475*44/12</f>
        <v>0</v>
      </c>
      <c r="HJ172" s="24">
        <f t="shared" si="190"/>
        <v>0</v>
      </c>
    </row>
    <row r="173" spans="1:218" x14ac:dyDescent="0.3">
      <c r="A173" s="11">
        <f t="shared" si="161"/>
        <v>170</v>
      </c>
      <c r="B173" s="76">
        <f>'Scénario référence'!$B$16*5+'Scénario référence'!$B$17*0+'Scénario référence'!$B$18*5</f>
        <v>3.9405000000000001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14.448500000000001</v>
      </c>
      <c r="H173" s="69">
        <f t="shared" si="110"/>
        <v>161.30656666666667</v>
      </c>
      <c r="I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68.471241655930385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210.54472399593521</v>
      </c>
      <c r="T173" s="62">
        <f t="shared" si="142"/>
        <v>181.14158435194193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68.471241655930385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289.05608923588198</v>
      </c>
      <c r="AO173" s="62">
        <f t="shared" si="144"/>
        <v>220.06639020312738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68.471241655930385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>
        <f>BD173*VLOOKUP('Données projet'!$B$11,Paramètres!$A$1:$I$89,3,0)*VLOOKUP('Données projet'!$B$11,Paramètres!$A$1:$I$89,5,0)</f>
        <v>0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299.54950406029354</v>
      </c>
      <c r="BJ173" s="62">
        <f t="shared" si="146"/>
        <v>208.26364698165739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68.471241655930385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>
        <f>BY173*VLOOKUP('Données projet'!$B$12,Paramètres!$A$1:$I$89,3,0)*VLOOKUP('Données projet'!$B$12,Paramètres!$A$1:$I$89,5,0)</f>
        <v>0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441.30518831297212</v>
      </c>
      <c r="CE173" s="62">
        <f t="shared" si="148"/>
        <v>270.42872405271851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68.471241655930385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-1.1368683772161603E-13</v>
      </c>
      <c r="CU173" s="18">
        <f>CT173*VLOOKUP('Données projet'!$B$13,Paramètres!$A$1:$I$89,3,0)*VLOOKUP('Données projet'!$B$13,Paramètres!$A$1:$I$89,5,0)</f>
        <v>-9.9316821433603781E-14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310.81258463659196</v>
      </c>
      <c r="CZ173" s="62">
        <f t="shared" si="150"/>
        <v>287.31099756692083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68.471241655930385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>
        <f>DO173*VLOOKUP('Données projet'!$B$14,Paramètres!$A$1:$I$89,3,0)*VLOOKUP('Données projet'!$B$14,Paramètres!$A$1:$I$89,5,0)</f>
        <v>0</v>
      </c>
      <c r="DQ173" s="14" t="e">
        <f t="shared" si="176"/>
        <v>#NUM!</v>
      </c>
      <c r="DR173" s="22" t="e">
        <f t="shared" si="177"/>
        <v>#NUM!</v>
      </c>
      <c r="DS173" s="62" t="e">
        <f t="shared" si="125"/>
        <v>#NUM!</v>
      </c>
      <c r="DT173" s="62">
        <f ca="1">AVERAGE(OFFSET($DS$3,0,0,'Données projet'!$E$14+1,1))-AVERAGE(OFFSET($H$3,0,0,'Données projet'!$E$14+1,1))</f>
        <v>431.19274104373625</v>
      </c>
      <c r="DU173" s="62">
        <f t="shared" si="152"/>
        <v>264.67919175178133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68.471241655930385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-6.2527760746888816E-13</v>
      </c>
      <c r="EK173" s="18">
        <f>EJ173*VLOOKUP('Données projet'!$B$15,Paramètres!$A$1:$I$89,3,0)*VLOOKUP('Données projet'!$B$15,Paramètres!$A$1:$I$89,5,0)</f>
        <v>-2.9262992029543964E-13</v>
      </c>
      <c r="EL173" s="14" t="e">
        <f t="shared" si="179"/>
        <v>#NUM!</v>
      </c>
      <c r="EM173" s="22" t="e">
        <f t="shared" si="180"/>
        <v>#NUM!</v>
      </c>
      <c r="EN173" s="62" t="e">
        <f t="shared" si="128"/>
        <v>#NUM!</v>
      </c>
      <c r="EO173" s="62">
        <f ca="1">AVERAGE(OFFSET($EN$3,0,0,'Données projet'!$E$15+1,1))-AVERAGE(OFFSET($H$3,0,0,'Données projet'!$E$15+1,1))</f>
        <v>291.68530745507815</v>
      </c>
      <c r="EP173" s="62">
        <f t="shared" si="154"/>
        <v>175.95121106728979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</v>
      </c>
      <c r="EZ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68.471241655930385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-1.1368683772161603E-13</v>
      </c>
      <c r="FF173" s="18">
        <f>FE173*VLOOKUP('Données projet'!$B$16,Paramètres!$A$1:$I$89,3,0)*VLOOKUP('Données projet'!$B$16,Paramètres!$A$1:$I$89,5,0)</f>
        <v>-7.4487616075202823E-14</v>
      </c>
      <c r="FG173" s="14" t="e">
        <f t="shared" si="182"/>
        <v>#NUM!</v>
      </c>
      <c r="FH173" s="22" t="e">
        <f t="shared" si="183"/>
        <v>#NUM!</v>
      </c>
      <c r="FI173" s="62" t="e">
        <f t="shared" si="131"/>
        <v>#NUM!</v>
      </c>
      <c r="FJ173" s="62">
        <f ca="1">AVERAGE(OFFSET($FI$3,0,0,'Données projet'!$E$16+1,1))-AVERAGE(OFFSET($H$3,0,0,'Données projet'!$E$16+1,1))</f>
        <v>248.75689726928428</v>
      </c>
      <c r="FK173" s="62">
        <f t="shared" si="156"/>
        <v>232.02291680388336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projet'!$B$16,Paramètres!$A$1:$I$89,3,0)*0.475*44/12</f>
        <v>0</v>
      </c>
      <c r="FR173" s="23">
        <f>EXP(-LN(2)/25)*FR172+(1-EXP(-LN(2)/25))/(LN(2)/25)*Calculateur!FM173*Calculateur!FO173*VLOOKUP('Données projet'!$B$16,Paramètres!$A$1:$I$89,3,0)*0.475*44/12</f>
        <v>0</v>
      </c>
      <c r="FS173" s="23">
        <f>EXP(-LN(2)/2)*FS172+(1-EXP(-LN(2)/2))/(LN(2)/2)*FM173*FP173*VLOOKUP('Données projet'!$B$16,Paramètres!$A$1:$I$89,3,0)*0.475*44/12</f>
        <v>0</v>
      </c>
      <c r="FT173" s="24">
        <f t="shared" si="184"/>
        <v>0</v>
      </c>
      <c r="FU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68.471241655930385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5.1159076974727213E-13</v>
      </c>
      <c r="GA173" s="18">
        <f>FZ173*VLOOKUP('Données projet'!$B$17,Paramètres!$A$1:$I$89,3,0)*VLOOKUP('Données projet'!$B$17,Paramètres!$A$1:$I$89,5,0)</f>
        <v>3.0593128030886877E-13</v>
      </c>
      <c r="GB173" s="14">
        <f t="shared" si="185"/>
        <v>4.0350537939347394E-12</v>
      </c>
      <c r="GC173" s="22">
        <f t="shared" si="186"/>
        <v>7.5605490043076185E-12</v>
      </c>
      <c r="GD173" s="62">
        <f t="shared" si="134"/>
        <v>287.72788607175232</v>
      </c>
      <c r="GE173" s="62">
        <f ca="1">AVERAGE(OFFSET($GD$3,0,0,'Données projet'!$E$17+1,1))-AVERAGE(OFFSET($H$3,0,0,'Données projet'!$E$17+1,1))</f>
        <v>315.909549580511</v>
      </c>
      <c r="GF173" s="62">
        <f t="shared" si="158"/>
        <v>208.56856525402051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projet'!$B$17,Paramètres!$A$1:$I$89,3,0)*0.475*44/12</f>
        <v>0</v>
      </c>
      <c r="GM173" s="23">
        <f>EXP(-LN(2)/25)*GM172+(1-EXP(-LN(2)/25))/(LN(2)/25)*Calculateur!GH173*Calculateur!GJ173*VLOOKUP('Données projet'!$B$17,Paramètres!$A$1:$I$89,3,0)*0.475*44/12</f>
        <v>0</v>
      </c>
      <c r="GN173" s="23">
        <f>EXP(-LN(2)/2)*GN172+(1-EXP(-LN(2)/2))/(LN(2)/2)*GH173*GK173*VLOOKUP('Données projet'!$B$17,Paramètres!$A$1:$I$89,3,0)*0.475*44/12</f>
        <v>0</v>
      </c>
      <c r="GO173" s="23">
        <f t="shared" si="187"/>
        <v>0</v>
      </c>
      <c r="GP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68.471241655930385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1.1368683772161603E-13</v>
      </c>
      <c r="GV173" s="18">
        <f>GU173*VLOOKUP('Données projet'!$B$18,Paramètres!$A$1:$I$89,3,0)*VLOOKUP('Données projet'!$B$18,Paramètres!$A$1:$I$89,5,0)</f>
        <v>7.626113074366004E-14</v>
      </c>
      <c r="GW173" s="14">
        <f t="shared" si="188"/>
        <v>1.1823749172251317E-12</v>
      </c>
      <c r="GX173" s="22">
        <f t="shared" si="189"/>
        <v>2.1921244502123119E-12</v>
      </c>
      <c r="GY173" s="62">
        <f t="shared" si="137"/>
        <v>287.72788607174698</v>
      </c>
      <c r="GZ173" s="62">
        <f ca="1">AVERAGE(OFFSET($GY$3,0,0,'Données projet'!$E$18+1,1))-AVERAGE(OFFSET($H$3,0,0,'Données projet'!$E$18+1,1))</f>
        <v>254.35742752782755</v>
      </c>
      <c r="HA173" s="62">
        <f t="shared" si="160"/>
        <v>171.79611712137395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>
        <f>EXP(-LN(2)/35)*HG172+(1-EXP(-LN(2)/35))/(LN(2)/35)*HC173*HD173*VLOOKUP('Données projet'!$B$18,Paramètres!$A$1:$I$89,3,0)*0.475*44/12</f>
        <v>0</v>
      </c>
      <c r="HH173" s="23">
        <f>EXP(-LN(2)/25)*HH172+(1-EXP(-LN(2)/25))/(LN(2)/25)*Calculateur!HC173*Calculateur!HE173*VLOOKUP('Données projet'!$B$18,Paramètres!$A$1:$I$89,3,0)*0.475*44/12</f>
        <v>0</v>
      </c>
      <c r="HI173" s="23">
        <f>EXP(-LN(2)/2)*HI172+(1-EXP(-LN(2)/2))/(LN(2)/2)*HC173*HF173*VLOOKUP('Données projet'!$B$18,Paramètres!$A$1:$I$89,3,0)*0.475*44/12</f>
        <v>0</v>
      </c>
      <c r="HJ173" s="24">
        <f t="shared" si="190"/>
        <v>0</v>
      </c>
    </row>
    <row r="174" spans="1:218" x14ac:dyDescent="0.3">
      <c r="A174" s="11">
        <f t="shared" si="161"/>
        <v>171</v>
      </c>
      <c r="B174" s="76">
        <f>'Scénario référence'!$B$16*5+'Scénario référence'!$B$17*0+'Scénario référence'!$B$18*5</f>
        <v>3.9405000000000001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14.448500000000001</v>
      </c>
      <c r="H174" s="69">
        <f t="shared" si="110"/>
        <v>161.30656666666667</v>
      </c>
      <c r="I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68.497762195408356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210.54472399593521</v>
      </c>
      <c r="T174" s="62">
        <f t="shared" si="142"/>
        <v>181.14158435194193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68.497762195408356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289.05608923588198</v>
      </c>
      <c r="AO174" s="62">
        <f t="shared" si="144"/>
        <v>220.06639020312738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68.497762195408356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>
        <f>BD174*VLOOKUP('Données projet'!$B$11,Paramètres!$A$1:$I$89,3,0)*VLOOKUP('Données projet'!$B$11,Paramètres!$A$1:$I$89,5,0)</f>
        <v>0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299.54950406029354</v>
      </c>
      <c r="BJ174" s="62">
        <f t="shared" si="146"/>
        <v>208.26364698165739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68.497762195408356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>
        <f>BY174*VLOOKUP('Données projet'!$B$12,Paramètres!$A$1:$I$89,3,0)*VLOOKUP('Données projet'!$B$12,Paramètres!$A$1:$I$89,5,0)</f>
        <v>0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441.30518831297212</v>
      </c>
      <c r="CE174" s="62">
        <f t="shared" si="148"/>
        <v>270.42872405271851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68.497762195408356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-1.1368683772161603E-13</v>
      </c>
      <c r="CU174" s="18">
        <f>CT174*VLOOKUP('Données projet'!$B$13,Paramètres!$A$1:$I$89,3,0)*VLOOKUP('Données projet'!$B$13,Paramètres!$A$1:$I$89,5,0)</f>
        <v>-9.9316821433603781E-14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310.81258463659196</v>
      </c>
      <c r="CZ174" s="62">
        <f t="shared" si="150"/>
        <v>287.31099756692083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68.497762195408356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>
        <f>DO174*VLOOKUP('Données projet'!$B$14,Paramètres!$A$1:$I$89,3,0)*VLOOKUP('Données projet'!$B$14,Paramètres!$A$1:$I$89,5,0)</f>
        <v>0</v>
      </c>
      <c r="DQ174" s="14" t="e">
        <f t="shared" si="176"/>
        <v>#NUM!</v>
      </c>
      <c r="DR174" s="22" t="e">
        <f t="shared" si="177"/>
        <v>#NUM!</v>
      </c>
      <c r="DS174" s="62" t="e">
        <f t="shared" si="125"/>
        <v>#NUM!</v>
      </c>
      <c r="DT174" s="62">
        <f ca="1">AVERAGE(OFFSET($DS$3,0,0,'Données projet'!$E$14+1,1))-AVERAGE(OFFSET($H$3,0,0,'Données projet'!$E$14+1,1))</f>
        <v>431.19274104373625</v>
      </c>
      <c r="DU174" s="62">
        <f t="shared" si="152"/>
        <v>264.67919175178133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68.497762195408356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-6.2527760746888816E-13</v>
      </c>
      <c r="EK174" s="18">
        <f>EJ174*VLOOKUP('Données projet'!$B$15,Paramètres!$A$1:$I$89,3,0)*VLOOKUP('Données projet'!$B$15,Paramètres!$A$1:$I$89,5,0)</f>
        <v>-2.9262992029543964E-13</v>
      </c>
      <c r="EL174" s="14" t="e">
        <f t="shared" si="179"/>
        <v>#NUM!</v>
      </c>
      <c r="EM174" s="22" t="e">
        <f t="shared" si="180"/>
        <v>#NUM!</v>
      </c>
      <c r="EN174" s="62" t="e">
        <f t="shared" si="128"/>
        <v>#NUM!</v>
      </c>
      <c r="EO174" s="62">
        <f ca="1">AVERAGE(OFFSET($EN$3,0,0,'Données projet'!$E$15+1,1))-AVERAGE(OFFSET($H$3,0,0,'Données projet'!$E$15+1,1))</f>
        <v>291.68530745507815</v>
      </c>
      <c r="EP174" s="62">
        <f t="shared" si="154"/>
        <v>175.95121106728979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</v>
      </c>
      <c r="EZ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68.497762195408356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-1.1368683772161603E-13</v>
      </c>
      <c r="FF174" s="18">
        <f>FE174*VLOOKUP('Données projet'!$B$16,Paramètres!$A$1:$I$89,3,0)*VLOOKUP('Données projet'!$B$16,Paramètres!$A$1:$I$89,5,0)</f>
        <v>-7.4487616075202823E-14</v>
      </c>
      <c r="FG174" s="14" t="e">
        <f t="shared" si="182"/>
        <v>#NUM!</v>
      </c>
      <c r="FH174" s="22" t="e">
        <f t="shared" si="183"/>
        <v>#NUM!</v>
      </c>
      <c r="FI174" s="62" t="e">
        <f t="shared" si="131"/>
        <v>#NUM!</v>
      </c>
      <c r="FJ174" s="62">
        <f ca="1">AVERAGE(OFFSET($FI$3,0,0,'Données projet'!$E$16+1,1))-AVERAGE(OFFSET($H$3,0,0,'Données projet'!$E$16+1,1))</f>
        <v>248.75689726928428</v>
      </c>
      <c r="FK174" s="62">
        <f t="shared" si="156"/>
        <v>232.02291680388336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projet'!$B$16,Paramètres!$A$1:$I$89,3,0)*0.475*44/12</f>
        <v>0</v>
      </c>
      <c r="FR174" s="23">
        <f>EXP(-LN(2)/25)*FR173+(1-EXP(-LN(2)/25))/(LN(2)/25)*Calculateur!FM174*Calculateur!FO174*VLOOKUP('Données projet'!$B$16,Paramètres!$A$1:$I$89,3,0)*0.475*44/12</f>
        <v>0</v>
      </c>
      <c r="FS174" s="23">
        <f>EXP(-LN(2)/2)*FS173+(1-EXP(-LN(2)/2))/(LN(2)/2)*FM174*FP174*VLOOKUP('Données projet'!$B$16,Paramètres!$A$1:$I$89,3,0)*0.475*44/12</f>
        <v>0</v>
      </c>
      <c r="FT174" s="24">
        <f t="shared" si="184"/>
        <v>0</v>
      </c>
      <c r="FU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68.497762195408356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5.1159076974727213E-13</v>
      </c>
      <c r="GA174" s="18">
        <f>FZ174*VLOOKUP('Données projet'!$B$17,Paramètres!$A$1:$I$89,3,0)*VLOOKUP('Données projet'!$B$17,Paramètres!$A$1:$I$89,5,0)</f>
        <v>3.0593128030886877E-13</v>
      </c>
      <c r="GB174" s="14">
        <f t="shared" si="185"/>
        <v>4.0350537939347394E-12</v>
      </c>
      <c r="GC174" s="22">
        <f t="shared" si="186"/>
        <v>7.5605490043076185E-12</v>
      </c>
      <c r="GD174" s="62">
        <f t="shared" si="134"/>
        <v>287.82512804983821</v>
      </c>
      <c r="GE174" s="62">
        <f ca="1">AVERAGE(OFFSET($GD$3,0,0,'Données projet'!$E$17+1,1))-AVERAGE(OFFSET($H$3,0,0,'Données projet'!$E$17+1,1))</f>
        <v>315.909549580511</v>
      </c>
      <c r="GF174" s="62">
        <f t="shared" si="158"/>
        <v>208.56856525402051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projet'!$B$17,Paramètres!$A$1:$I$89,3,0)*0.475*44/12</f>
        <v>0</v>
      </c>
      <c r="GM174" s="23">
        <f>EXP(-LN(2)/25)*GM173+(1-EXP(-LN(2)/25))/(LN(2)/25)*Calculateur!GH174*Calculateur!GJ174*VLOOKUP('Données projet'!$B$17,Paramètres!$A$1:$I$89,3,0)*0.475*44/12</f>
        <v>0</v>
      </c>
      <c r="GN174" s="23">
        <f>EXP(-LN(2)/2)*GN173+(1-EXP(-LN(2)/2))/(LN(2)/2)*GH174*GK174*VLOOKUP('Données projet'!$B$17,Paramètres!$A$1:$I$89,3,0)*0.475*44/12</f>
        <v>0</v>
      </c>
      <c r="GO174" s="23">
        <f t="shared" si="187"/>
        <v>0</v>
      </c>
      <c r="GP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68.497762195408356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1.1368683772161603E-13</v>
      </c>
      <c r="GV174" s="18">
        <f>GU174*VLOOKUP('Données projet'!$B$18,Paramètres!$A$1:$I$89,3,0)*VLOOKUP('Données projet'!$B$18,Paramètres!$A$1:$I$89,5,0)</f>
        <v>7.626113074366004E-14</v>
      </c>
      <c r="GW174" s="14">
        <f t="shared" si="188"/>
        <v>1.1823749172251317E-12</v>
      </c>
      <c r="GX174" s="22">
        <f t="shared" si="189"/>
        <v>2.1921244502123119E-12</v>
      </c>
      <c r="GY174" s="62">
        <f t="shared" si="137"/>
        <v>287.82512804983287</v>
      </c>
      <c r="GZ174" s="62">
        <f ca="1">AVERAGE(OFFSET($GY$3,0,0,'Données projet'!$E$18+1,1))-AVERAGE(OFFSET($H$3,0,0,'Données projet'!$E$18+1,1))</f>
        <v>254.35742752782755</v>
      </c>
      <c r="HA174" s="62">
        <f t="shared" si="160"/>
        <v>171.79611712137395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>
        <f>EXP(-LN(2)/35)*HG173+(1-EXP(-LN(2)/35))/(LN(2)/35)*HC174*HD174*VLOOKUP('Données projet'!$B$18,Paramètres!$A$1:$I$89,3,0)*0.475*44/12</f>
        <v>0</v>
      </c>
      <c r="HH174" s="23">
        <f>EXP(-LN(2)/25)*HH173+(1-EXP(-LN(2)/25))/(LN(2)/25)*Calculateur!HC174*Calculateur!HE174*VLOOKUP('Données projet'!$B$18,Paramètres!$A$1:$I$89,3,0)*0.475*44/12</f>
        <v>0</v>
      </c>
      <c r="HI174" s="23">
        <f>EXP(-LN(2)/2)*HI173+(1-EXP(-LN(2)/2))/(LN(2)/2)*HC174*HF174*VLOOKUP('Données projet'!$B$18,Paramètres!$A$1:$I$89,3,0)*0.475*44/12</f>
        <v>0</v>
      </c>
      <c r="HJ174" s="24">
        <f t="shared" si="190"/>
        <v>0</v>
      </c>
    </row>
    <row r="175" spans="1:218" x14ac:dyDescent="0.3">
      <c r="A175" s="11">
        <f t="shared" si="161"/>
        <v>172</v>
      </c>
      <c r="B175" s="76">
        <f>'Scénario référence'!$B$16*5+'Scénario référence'!$B$17*0+'Scénario référence'!$B$18*5</f>
        <v>3.9405000000000001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14.448500000000001</v>
      </c>
      <c r="H175" s="69">
        <f t="shared" si="110"/>
        <v>161.30656666666667</v>
      </c>
      <c r="I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68.523822662817437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210.54472399593521</v>
      </c>
      <c r="T175" s="62">
        <f t="shared" si="142"/>
        <v>181.14158435194193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68.523822662817437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289.05608923588198</v>
      </c>
      <c r="AO175" s="62">
        <f t="shared" si="144"/>
        <v>220.06639020312738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68.523822662817437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>
        <f>BD175*VLOOKUP('Données projet'!$B$11,Paramètres!$A$1:$I$89,3,0)*VLOOKUP('Données projet'!$B$11,Paramètres!$A$1:$I$89,5,0)</f>
        <v>0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299.54950406029354</v>
      </c>
      <c r="BJ175" s="62">
        <f t="shared" si="146"/>
        <v>208.26364698165739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68.523822662817437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>
        <f>BY175*VLOOKUP('Données projet'!$B$12,Paramètres!$A$1:$I$89,3,0)*VLOOKUP('Données projet'!$B$12,Paramètres!$A$1:$I$89,5,0)</f>
        <v>0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441.30518831297212</v>
      </c>
      <c r="CE175" s="62">
        <f t="shared" si="148"/>
        <v>270.42872405271851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68.523822662817437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-1.1368683772161603E-13</v>
      </c>
      <c r="CU175" s="18">
        <f>CT175*VLOOKUP('Données projet'!$B$13,Paramètres!$A$1:$I$89,3,0)*VLOOKUP('Données projet'!$B$13,Paramètres!$A$1:$I$89,5,0)</f>
        <v>-9.9316821433603781E-14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310.81258463659196</v>
      </c>
      <c r="CZ175" s="62">
        <f t="shared" si="150"/>
        <v>287.31099756692083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68.523822662817437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>
        <f>DO175*VLOOKUP('Données projet'!$B$14,Paramètres!$A$1:$I$89,3,0)*VLOOKUP('Données projet'!$B$14,Paramètres!$A$1:$I$89,5,0)</f>
        <v>0</v>
      </c>
      <c r="DQ175" s="14" t="e">
        <f t="shared" si="176"/>
        <v>#NUM!</v>
      </c>
      <c r="DR175" s="22" t="e">
        <f t="shared" si="177"/>
        <v>#NUM!</v>
      </c>
      <c r="DS175" s="62" t="e">
        <f t="shared" si="125"/>
        <v>#NUM!</v>
      </c>
      <c r="DT175" s="62">
        <f ca="1">AVERAGE(OFFSET($DS$3,0,0,'Données projet'!$E$14+1,1))-AVERAGE(OFFSET($H$3,0,0,'Données projet'!$E$14+1,1))</f>
        <v>431.19274104373625</v>
      </c>
      <c r="DU175" s="62">
        <f t="shared" si="152"/>
        <v>264.67919175178133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68.523822662817437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-6.2527760746888816E-13</v>
      </c>
      <c r="EK175" s="18">
        <f>EJ175*VLOOKUP('Données projet'!$B$15,Paramètres!$A$1:$I$89,3,0)*VLOOKUP('Données projet'!$B$15,Paramètres!$A$1:$I$89,5,0)</f>
        <v>-2.9262992029543964E-13</v>
      </c>
      <c r="EL175" s="14" t="e">
        <f t="shared" si="179"/>
        <v>#NUM!</v>
      </c>
      <c r="EM175" s="22" t="e">
        <f t="shared" si="180"/>
        <v>#NUM!</v>
      </c>
      <c r="EN175" s="62" t="e">
        <f t="shared" si="128"/>
        <v>#NUM!</v>
      </c>
      <c r="EO175" s="62">
        <f ca="1">AVERAGE(OFFSET($EN$3,0,0,'Données projet'!$E$15+1,1))-AVERAGE(OFFSET($H$3,0,0,'Données projet'!$E$15+1,1))</f>
        <v>291.68530745507815</v>
      </c>
      <c r="EP175" s="62">
        <f t="shared" si="154"/>
        <v>175.95121106728979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</v>
      </c>
      <c r="EZ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68.523822662817437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-1.1368683772161603E-13</v>
      </c>
      <c r="FF175" s="18">
        <f>FE175*VLOOKUP('Données projet'!$B$16,Paramètres!$A$1:$I$89,3,0)*VLOOKUP('Données projet'!$B$16,Paramètres!$A$1:$I$89,5,0)</f>
        <v>-7.4487616075202823E-14</v>
      </c>
      <c r="FG175" s="14" t="e">
        <f t="shared" si="182"/>
        <v>#NUM!</v>
      </c>
      <c r="FH175" s="22" t="e">
        <f t="shared" si="183"/>
        <v>#NUM!</v>
      </c>
      <c r="FI175" s="62" t="e">
        <f t="shared" si="131"/>
        <v>#NUM!</v>
      </c>
      <c r="FJ175" s="62">
        <f ca="1">AVERAGE(OFFSET($FI$3,0,0,'Données projet'!$E$16+1,1))-AVERAGE(OFFSET($H$3,0,0,'Données projet'!$E$16+1,1))</f>
        <v>248.75689726928428</v>
      </c>
      <c r="FK175" s="62">
        <f t="shared" si="156"/>
        <v>232.02291680388336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projet'!$B$16,Paramètres!$A$1:$I$89,3,0)*0.475*44/12</f>
        <v>0</v>
      </c>
      <c r="FR175" s="23">
        <f>EXP(-LN(2)/25)*FR174+(1-EXP(-LN(2)/25))/(LN(2)/25)*Calculateur!FM175*Calculateur!FO175*VLOOKUP('Données projet'!$B$16,Paramètres!$A$1:$I$89,3,0)*0.475*44/12</f>
        <v>0</v>
      </c>
      <c r="FS175" s="23">
        <f>EXP(-LN(2)/2)*FS174+(1-EXP(-LN(2)/2))/(LN(2)/2)*FM175*FP175*VLOOKUP('Données projet'!$B$16,Paramètres!$A$1:$I$89,3,0)*0.475*44/12</f>
        <v>0</v>
      </c>
      <c r="FT175" s="24">
        <f t="shared" si="184"/>
        <v>0</v>
      </c>
      <c r="FU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68.523822662817437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5.1159076974727213E-13</v>
      </c>
      <c r="GA175" s="18">
        <f>FZ175*VLOOKUP('Données projet'!$B$17,Paramètres!$A$1:$I$89,3,0)*VLOOKUP('Données projet'!$B$17,Paramètres!$A$1:$I$89,5,0)</f>
        <v>3.0593128030886877E-13</v>
      </c>
      <c r="GB175" s="14">
        <f t="shared" si="185"/>
        <v>4.0350537939347394E-12</v>
      </c>
      <c r="GC175" s="22">
        <f t="shared" si="186"/>
        <v>7.5605490043076185E-12</v>
      </c>
      <c r="GD175" s="62">
        <f t="shared" si="134"/>
        <v>287.92068309700483</v>
      </c>
      <c r="GE175" s="62">
        <f ca="1">AVERAGE(OFFSET($GD$3,0,0,'Données projet'!$E$17+1,1))-AVERAGE(OFFSET($H$3,0,0,'Données projet'!$E$17+1,1))</f>
        <v>315.909549580511</v>
      </c>
      <c r="GF175" s="62">
        <f t="shared" si="158"/>
        <v>208.56856525402051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projet'!$B$17,Paramètres!$A$1:$I$89,3,0)*0.475*44/12</f>
        <v>0</v>
      </c>
      <c r="GM175" s="23">
        <f>EXP(-LN(2)/25)*GM174+(1-EXP(-LN(2)/25))/(LN(2)/25)*Calculateur!GH175*Calculateur!GJ175*VLOOKUP('Données projet'!$B$17,Paramètres!$A$1:$I$89,3,0)*0.475*44/12</f>
        <v>0</v>
      </c>
      <c r="GN175" s="23">
        <f>EXP(-LN(2)/2)*GN174+(1-EXP(-LN(2)/2))/(LN(2)/2)*GH175*GK175*VLOOKUP('Données projet'!$B$17,Paramètres!$A$1:$I$89,3,0)*0.475*44/12</f>
        <v>0</v>
      </c>
      <c r="GO175" s="23">
        <f t="shared" si="187"/>
        <v>0</v>
      </c>
      <c r="GP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68.523822662817437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1.1368683772161603E-13</v>
      </c>
      <c r="GV175" s="18">
        <f>GU175*VLOOKUP('Données projet'!$B$18,Paramètres!$A$1:$I$89,3,0)*VLOOKUP('Données projet'!$B$18,Paramètres!$A$1:$I$89,5,0)</f>
        <v>7.626113074366004E-14</v>
      </c>
      <c r="GW175" s="14">
        <f t="shared" si="188"/>
        <v>1.1823749172251317E-12</v>
      </c>
      <c r="GX175" s="22">
        <f t="shared" si="189"/>
        <v>2.1921244502123119E-12</v>
      </c>
      <c r="GY175" s="62">
        <f t="shared" si="137"/>
        <v>287.92068309699948</v>
      </c>
      <c r="GZ175" s="62">
        <f ca="1">AVERAGE(OFFSET($GY$3,0,0,'Données projet'!$E$18+1,1))-AVERAGE(OFFSET($H$3,0,0,'Données projet'!$E$18+1,1))</f>
        <v>254.35742752782755</v>
      </c>
      <c r="HA175" s="62">
        <f t="shared" si="160"/>
        <v>171.79611712137395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>
        <f>EXP(-LN(2)/35)*HG174+(1-EXP(-LN(2)/35))/(LN(2)/35)*HC175*HD175*VLOOKUP('Données projet'!$B$18,Paramètres!$A$1:$I$89,3,0)*0.475*44/12</f>
        <v>0</v>
      </c>
      <c r="HH175" s="23">
        <f>EXP(-LN(2)/25)*HH174+(1-EXP(-LN(2)/25))/(LN(2)/25)*Calculateur!HC175*Calculateur!HE175*VLOOKUP('Données projet'!$B$18,Paramètres!$A$1:$I$89,3,0)*0.475*44/12</f>
        <v>0</v>
      </c>
      <c r="HI175" s="23">
        <f>EXP(-LN(2)/2)*HI174+(1-EXP(-LN(2)/2))/(LN(2)/2)*HC175*HF175*VLOOKUP('Données projet'!$B$18,Paramètres!$A$1:$I$89,3,0)*0.475*44/12</f>
        <v>0</v>
      </c>
      <c r="HJ175" s="24">
        <f t="shared" si="190"/>
        <v>0</v>
      </c>
    </row>
    <row r="176" spans="1:218" x14ac:dyDescent="0.3">
      <c r="A176" s="11">
        <f t="shared" si="161"/>
        <v>173</v>
      </c>
      <c r="B176" s="76">
        <f>'Scénario référence'!$B$16*5+'Scénario référence'!$B$17*0+'Scénario référence'!$B$18*5</f>
        <v>3.9405000000000001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14.448500000000001</v>
      </c>
      <c r="H176" s="69">
        <f t="shared" si="110"/>
        <v>161.30656666666667</v>
      </c>
      <c r="I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68.549431039379428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210.54472399593521</v>
      </c>
      <c r="T176" s="62">
        <f t="shared" si="142"/>
        <v>181.14158435194193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68.549431039379428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289.05608923588198</v>
      </c>
      <c r="AO176" s="62">
        <f t="shared" si="144"/>
        <v>220.06639020312738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68.549431039379428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>
        <f>BD176*VLOOKUP('Données projet'!$B$11,Paramètres!$A$1:$I$89,3,0)*VLOOKUP('Données projet'!$B$11,Paramètres!$A$1:$I$89,5,0)</f>
        <v>0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299.54950406029354</v>
      </c>
      <c r="BJ176" s="62">
        <f t="shared" si="146"/>
        <v>208.26364698165739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68.549431039379428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>
        <f>BY176*VLOOKUP('Données projet'!$B$12,Paramètres!$A$1:$I$89,3,0)*VLOOKUP('Données projet'!$B$12,Paramètres!$A$1:$I$89,5,0)</f>
        <v>0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441.30518831297212</v>
      </c>
      <c r="CE176" s="62">
        <f t="shared" si="148"/>
        <v>270.42872405271851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68.549431039379428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-1.1368683772161603E-13</v>
      </c>
      <c r="CU176" s="18">
        <f>CT176*VLOOKUP('Données projet'!$B$13,Paramètres!$A$1:$I$89,3,0)*VLOOKUP('Données projet'!$B$13,Paramètres!$A$1:$I$89,5,0)</f>
        <v>-9.9316821433603781E-14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310.81258463659196</v>
      </c>
      <c r="CZ176" s="62">
        <f t="shared" si="150"/>
        <v>287.31099756692083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68.549431039379428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>
        <f>DO176*VLOOKUP('Données projet'!$B$14,Paramètres!$A$1:$I$89,3,0)*VLOOKUP('Données projet'!$B$14,Paramètres!$A$1:$I$89,5,0)</f>
        <v>0</v>
      </c>
      <c r="DQ176" s="14" t="e">
        <f t="shared" si="176"/>
        <v>#NUM!</v>
      </c>
      <c r="DR176" s="22" t="e">
        <f t="shared" si="177"/>
        <v>#NUM!</v>
      </c>
      <c r="DS176" s="62" t="e">
        <f t="shared" si="125"/>
        <v>#NUM!</v>
      </c>
      <c r="DT176" s="62">
        <f ca="1">AVERAGE(OFFSET($DS$3,0,0,'Données projet'!$E$14+1,1))-AVERAGE(OFFSET($H$3,0,0,'Données projet'!$E$14+1,1))</f>
        <v>431.19274104373625</v>
      </c>
      <c r="DU176" s="62">
        <f t="shared" si="152"/>
        <v>264.67919175178133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68.549431039379428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-6.2527760746888816E-13</v>
      </c>
      <c r="EK176" s="18">
        <f>EJ176*VLOOKUP('Données projet'!$B$15,Paramètres!$A$1:$I$89,3,0)*VLOOKUP('Données projet'!$B$15,Paramètres!$A$1:$I$89,5,0)</f>
        <v>-2.9262992029543964E-13</v>
      </c>
      <c r="EL176" s="14" t="e">
        <f t="shared" si="179"/>
        <v>#NUM!</v>
      </c>
      <c r="EM176" s="22" t="e">
        <f t="shared" si="180"/>
        <v>#NUM!</v>
      </c>
      <c r="EN176" s="62" t="e">
        <f t="shared" si="128"/>
        <v>#NUM!</v>
      </c>
      <c r="EO176" s="62">
        <f ca="1">AVERAGE(OFFSET($EN$3,0,0,'Données projet'!$E$15+1,1))-AVERAGE(OFFSET($H$3,0,0,'Données projet'!$E$15+1,1))</f>
        <v>291.68530745507815</v>
      </c>
      <c r="EP176" s="62">
        <f t="shared" si="154"/>
        <v>175.95121106728979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</v>
      </c>
      <c r="EZ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68.549431039379428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-1.1368683772161603E-13</v>
      </c>
      <c r="FF176" s="18">
        <f>FE176*VLOOKUP('Données projet'!$B$16,Paramètres!$A$1:$I$89,3,0)*VLOOKUP('Données projet'!$B$16,Paramètres!$A$1:$I$89,5,0)</f>
        <v>-7.4487616075202823E-14</v>
      </c>
      <c r="FG176" s="14" t="e">
        <f t="shared" si="182"/>
        <v>#NUM!</v>
      </c>
      <c r="FH176" s="22" t="e">
        <f t="shared" si="183"/>
        <v>#NUM!</v>
      </c>
      <c r="FI176" s="62" t="e">
        <f t="shared" si="131"/>
        <v>#NUM!</v>
      </c>
      <c r="FJ176" s="62">
        <f ca="1">AVERAGE(OFFSET($FI$3,0,0,'Données projet'!$E$16+1,1))-AVERAGE(OFFSET($H$3,0,0,'Données projet'!$E$16+1,1))</f>
        <v>248.75689726928428</v>
      </c>
      <c r="FK176" s="62">
        <f t="shared" si="156"/>
        <v>232.02291680388336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projet'!$B$16,Paramètres!$A$1:$I$89,3,0)*0.475*44/12</f>
        <v>0</v>
      </c>
      <c r="FR176" s="23">
        <f>EXP(-LN(2)/25)*FR175+(1-EXP(-LN(2)/25))/(LN(2)/25)*Calculateur!FM176*Calculateur!FO176*VLOOKUP('Données projet'!$B$16,Paramètres!$A$1:$I$89,3,0)*0.475*44/12</f>
        <v>0</v>
      </c>
      <c r="FS176" s="23">
        <f>EXP(-LN(2)/2)*FS175+(1-EXP(-LN(2)/2))/(LN(2)/2)*FM176*FP176*VLOOKUP('Données projet'!$B$16,Paramètres!$A$1:$I$89,3,0)*0.475*44/12</f>
        <v>0</v>
      </c>
      <c r="FT176" s="24">
        <f t="shared" si="184"/>
        <v>0</v>
      </c>
      <c r="FU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68.549431039379428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5.1159076974727213E-13</v>
      </c>
      <c r="GA176" s="18">
        <f>FZ176*VLOOKUP('Données projet'!$B$17,Paramètres!$A$1:$I$89,3,0)*VLOOKUP('Données projet'!$B$17,Paramètres!$A$1:$I$89,5,0)</f>
        <v>3.0593128030886877E-13</v>
      </c>
      <c r="GB176" s="14">
        <f t="shared" si="185"/>
        <v>4.0350537939347394E-12</v>
      </c>
      <c r="GC176" s="22">
        <f t="shared" si="186"/>
        <v>7.5605490043076185E-12</v>
      </c>
      <c r="GD176" s="62">
        <f t="shared" si="134"/>
        <v>288.01458047773212</v>
      </c>
      <c r="GE176" s="62">
        <f ca="1">AVERAGE(OFFSET($GD$3,0,0,'Données projet'!$E$17+1,1))-AVERAGE(OFFSET($H$3,0,0,'Données projet'!$E$17+1,1))</f>
        <v>315.909549580511</v>
      </c>
      <c r="GF176" s="62">
        <f t="shared" si="158"/>
        <v>208.56856525402051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projet'!$B$17,Paramètres!$A$1:$I$89,3,0)*0.475*44/12</f>
        <v>0</v>
      </c>
      <c r="GM176" s="23">
        <f>EXP(-LN(2)/25)*GM175+(1-EXP(-LN(2)/25))/(LN(2)/25)*Calculateur!GH176*Calculateur!GJ176*VLOOKUP('Données projet'!$B$17,Paramètres!$A$1:$I$89,3,0)*0.475*44/12</f>
        <v>0</v>
      </c>
      <c r="GN176" s="23">
        <f>EXP(-LN(2)/2)*GN175+(1-EXP(-LN(2)/2))/(LN(2)/2)*GH176*GK176*VLOOKUP('Données projet'!$B$17,Paramètres!$A$1:$I$89,3,0)*0.475*44/12</f>
        <v>0</v>
      </c>
      <c r="GO176" s="23">
        <f t="shared" si="187"/>
        <v>0</v>
      </c>
      <c r="GP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68.549431039379428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1.1368683772161603E-13</v>
      </c>
      <c r="GV176" s="18">
        <f>GU176*VLOOKUP('Données projet'!$B$18,Paramètres!$A$1:$I$89,3,0)*VLOOKUP('Données projet'!$B$18,Paramètres!$A$1:$I$89,5,0)</f>
        <v>7.626113074366004E-14</v>
      </c>
      <c r="GW176" s="14">
        <f t="shared" si="188"/>
        <v>1.1823749172251317E-12</v>
      </c>
      <c r="GX176" s="22">
        <f t="shared" si="189"/>
        <v>2.1921244502123119E-12</v>
      </c>
      <c r="GY176" s="62">
        <f t="shared" si="137"/>
        <v>288.01458047772678</v>
      </c>
      <c r="GZ176" s="62">
        <f ca="1">AVERAGE(OFFSET($GY$3,0,0,'Données projet'!$E$18+1,1))-AVERAGE(OFFSET($H$3,0,0,'Données projet'!$E$18+1,1))</f>
        <v>254.35742752782755</v>
      </c>
      <c r="HA176" s="62">
        <f t="shared" si="160"/>
        <v>171.79611712137395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>
        <f>EXP(-LN(2)/35)*HG175+(1-EXP(-LN(2)/35))/(LN(2)/35)*HC176*HD176*VLOOKUP('Données projet'!$B$18,Paramètres!$A$1:$I$89,3,0)*0.475*44/12</f>
        <v>0</v>
      </c>
      <c r="HH176" s="23">
        <f>EXP(-LN(2)/25)*HH175+(1-EXP(-LN(2)/25))/(LN(2)/25)*Calculateur!HC176*Calculateur!HE176*VLOOKUP('Données projet'!$B$18,Paramètres!$A$1:$I$89,3,0)*0.475*44/12</f>
        <v>0</v>
      </c>
      <c r="HI176" s="23">
        <f>EXP(-LN(2)/2)*HI175+(1-EXP(-LN(2)/2))/(LN(2)/2)*HC176*HF176*VLOOKUP('Données projet'!$B$18,Paramètres!$A$1:$I$89,3,0)*0.475*44/12</f>
        <v>0</v>
      </c>
      <c r="HJ176" s="24">
        <f t="shared" si="190"/>
        <v>0</v>
      </c>
    </row>
    <row r="177" spans="1:218" x14ac:dyDescent="0.3">
      <c r="A177" s="11">
        <f t="shared" si="161"/>
        <v>174</v>
      </c>
      <c r="B177" s="76">
        <f>'Scénario référence'!$B$16*5+'Scénario référence'!$B$17*0+'Scénario référence'!$B$18*5</f>
        <v>3.9405000000000001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14.448500000000001</v>
      </c>
      <c r="H177" s="69">
        <f t="shared" si="110"/>
        <v>161.30656666666667</v>
      </c>
      <c r="I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68.574595167859854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210.54472399593521</v>
      </c>
      <c r="T177" s="62">
        <f t="shared" si="142"/>
        <v>181.14158435194193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68.574595167859854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289.05608923588198</v>
      </c>
      <c r="AO177" s="62">
        <f t="shared" si="144"/>
        <v>220.06639020312738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68.574595167859854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>
        <f>BD177*VLOOKUP('Données projet'!$B$11,Paramètres!$A$1:$I$89,3,0)*VLOOKUP('Données projet'!$B$11,Paramètres!$A$1:$I$89,5,0)</f>
        <v>0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299.54950406029354</v>
      </c>
      <c r="BJ177" s="62">
        <f t="shared" si="146"/>
        <v>208.26364698165739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68.574595167859854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>
        <f>BY177*VLOOKUP('Données projet'!$B$12,Paramètres!$A$1:$I$89,3,0)*VLOOKUP('Données projet'!$B$12,Paramètres!$A$1:$I$89,5,0)</f>
        <v>0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441.30518831297212</v>
      </c>
      <c r="CE177" s="62">
        <f t="shared" si="148"/>
        <v>270.42872405271851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68.574595167859854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-1.1368683772161603E-13</v>
      </c>
      <c r="CU177" s="18">
        <f>CT177*VLOOKUP('Données projet'!$B$13,Paramètres!$A$1:$I$89,3,0)*VLOOKUP('Données projet'!$B$13,Paramètres!$A$1:$I$89,5,0)</f>
        <v>-9.9316821433603781E-14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310.81258463659196</v>
      </c>
      <c r="CZ177" s="62">
        <f t="shared" si="150"/>
        <v>287.31099756692083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68.574595167859854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>
        <f>DO177*VLOOKUP('Données projet'!$B$14,Paramètres!$A$1:$I$89,3,0)*VLOOKUP('Données projet'!$B$14,Paramètres!$A$1:$I$89,5,0)</f>
        <v>0</v>
      </c>
      <c r="DQ177" s="14" t="e">
        <f t="shared" si="176"/>
        <v>#NUM!</v>
      </c>
      <c r="DR177" s="22" t="e">
        <f t="shared" si="177"/>
        <v>#NUM!</v>
      </c>
      <c r="DS177" s="62" t="e">
        <f t="shared" si="125"/>
        <v>#NUM!</v>
      </c>
      <c r="DT177" s="62">
        <f ca="1">AVERAGE(OFFSET($DS$3,0,0,'Données projet'!$E$14+1,1))-AVERAGE(OFFSET($H$3,0,0,'Données projet'!$E$14+1,1))</f>
        <v>431.19274104373625</v>
      </c>
      <c r="DU177" s="62">
        <f t="shared" si="152"/>
        <v>264.67919175178133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68.574595167859854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-6.2527760746888816E-13</v>
      </c>
      <c r="EK177" s="18">
        <f>EJ177*VLOOKUP('Données projet'!$B$15,Paramètres!$A$1:$I$89,3,0)*VLOOKUP('Données projet'!$B$15,Paramètres!$A$1:$I$89,5,0)</f>
        <v>-2.9262992029543964E-13</v>
      </c>
      <c r="EL177" s="14" t="e">
        <f t="shared" si="179"/>
        <v>#NUM!</v>
      </c>
      <c r="EM177" s="22" t="e">
        <f t="shared" si="180"/>
        <v>#NUM!</v>
      </c>
      <c r="EN177" s="62" t="e">
        <f t="shared" si="128"/>
        <v>#NUM!</v>
      </c>
      <c r="EO177" s="62">
        <f ca="1">AVERAGE(OFFSET($EN$3,0,0,'Données projet'!$E$15+1,1))-AVERAGE(OFFSET($H$3,0,0,'Données projet'!$E$15+1,1))</f>
        <v>291.68530745507815</v>
      </c>
      <c r="EP177" s="62">
        <f t="shared" si="154"/>
        <v>175.95121106728979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</v>
      </c>
      <c r="EZ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68.574595167859854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-1.1368683772161603E-13</v>
      </c>
      <c r="FF177" s="18">
        <f>FE177*VLOOKUP('Données projet'!$B$16,Paramètres!$A$1:$I$89,3,0)*VLOOKUP('Données projet'!$B$16,Paramètres!$A$1:$I$89,5,0)</f>
        <v>-7.4487616075202823E-14</v>
      </c>
      <c r="FG177" s="14" t="e">
        <f t="shared" si="182"/>
        <v>#NUM!</v>
      </c>
      <c r="FH177" s="22" t="e">
        <f t="shared" si="183"/>
        <v>#NUM!</v>
      </c>
      <c r="FI177" s="62" t="e">
        <f t="shared" si="131"/>
        <v>#NUM!</v>
      </c>
      <c r="FJ177" s="62">
        <f ca="1">AVERAGE(OFFSET($FI$3,0,0,'Données projet'!$E$16+1,1))-AVERAGE(OFFSET($H$3,0,0,'Données projet'!$E$16+1,1))</f>
        <v>248.75689726928428</v>
      </c>
      <c r="FK177" s="62">
        <f t="shared" si="156"/>
        <v>232.02291680388336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projet'!$B$16,Paramètres!$A$1:$I$89,3,0)*0.475*44/12</f>
        <v>0</v>
      </c>
      <c r="FR177" s="23">
        <f>EXP(-LN(2)/25)*FR176+(1-EXP(-LN(2)/25))/(LN(2)/25)*Calculateur!FM177*Calculateur!FO177*VLOOKUP('Données projet'!$B$16,Paramètres!$A$1:$I$89,3,0)*0.475*44/12</f>
        <v>0</v>
      </c>
      <c r="FS177" s="23">
        <f>EXP(-LN(2)/2)*FS176+(1-EXP(-LN(2)/2))/(LN(2)/2)*FM177*FP177*VLOOKUP('Données projet'!$B$16,Paramètres!$A$1:$I$89,3,0)*0.475*44/12</f>
        <v>0</v>
      </c>
      <c r="FT177" s="24">
        <f t="shared" si="184"/>
        <v>0</v>
      </c>
      <c r="FU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68.574595167859854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5.1159076974727213E-13</v>
      </c>
      <c r="GA177" s="18">
        <f>FZ177*VLOOKUP('Données projet'!$B$17,Paramètres!$A$1:$I$89,3,0)*VLOOKUP('Données projet'!$B$17,Paramètres!$A$1:$I$89,5,0)</f>
        <v>3.0593128030886877E-13</v>
      </c>
      <c r="GB177" s="14">
        <f t="shared" si="185"/>
        <v>4.0350537939347394E-12</v>
      </c>
      <c r="GC177" s="22">
        <f t="shared" si="186"/>
        <v>7.5605490043076185E-12</v>
      </c>
      <c r="GD177" s="62">
        <f t="shared" si="134"/>
        <v>288.10684894882706</v>
      </c>
      <c r="GE177" s="62">
        <f ca="1">AVERAGE(OFFSET($GD$3,0,0,'Données projet'!$E$17+1,1))-AVERAGE(OFFSET($H$3,0,0,'Données projet'!$E$17+1,1))</f>
        <v>315.909549580511</v>
      </c>
      <c r="GF177" s="62">
        <f t="shared" si="158"/>
        <v>208.56856525402051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projet'!$B$17,Paramètres!$A$1:$I$89,3,0)*0.475*44/12</f>
        <v>0</v>
      </c>
      <c r="GM177" s="23">
        <f>EXP(-LN(2)/25)*GM176+(1-EXP(-LN(2)/25))/(LN(2)/25)*Calculateur!GH177*Calculateur!GJ177*VLOOKUP('Données projet'!$B$17,Paramètres!$A$1:$I$89,3,0)*0.475*44/12</f>
        <v>0</v>
      </c>
      <c r="GN177" s="23">
        <f>EXP(-LN(2)/2)*GN176+(1-EXP(-LN(2)/2))/(LN(2)/2)*GH177*GK177*VLOOKUP('Données projet'!$B$17,Paramètres!$A$1:$I$89,3,0)*0.475*44/12</f>
        <v>0</v>
      </c>
      <c r="GO177" s="23">
        <f t="shared" si="187"/>
        <v>0</v>
      </c>
      <c r="GP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68.574595167859854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1.1368683772161603E-13</v>
      </c>
      <c r="GV177" s="18">
        <f>GU177*VLOOKUP('Données projet'!$B$18,Paramètres!$A$1:$I$89,3,0)*VLOOKUP('Données projet'!$B$18,Paramètres!$A$1:$I$89,5,0)</f>
        <v>7.626113074366004E-14</v>
      </c>
      <c r="GW177" s="14">
        <f t="shared" si="188"/>
        <v>1.1823749172251317E-12</v>
      </c>
      <c r="GX177" s="22">
        <f t="shared" si="189"/>
        <v>2.1921244502123119E-12</v>
      </c>
      <c r="GY177" s="62">
        <f t="shared" si="137"/>
        <v>288.10684894882172</v>
      </c>
      <c r="GZ177" s="62">
        <f ca="1">AVERAGE(OFFSET($GY$3,0,0,'Données projet'!$E$18+1,1))-AVERAGE(OFFSET($H$3,0,0,'Données projet'!$E$18+1,1))</f>
        <v>254.35742752782755</v>
      </c>
      <c r="HA177" s="62">
        <f t="shared" si="160"/>
        <v>171.79611712137395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>
        <f>EXP(-LN(2)/35)*HG176+(1-EXP(-LN(2)/35))/(LN(2)/35)*HC177*HD177*VLOOKUP('Données projet'!$B$18,Paramètres!$A$1:$I$89,3,0)*0.475*44/12</f>
        <v>0</v>
      </c>
      <c r="HH177" s="23">
        <f>EXP(-LN(2)/25)*HH176+(1-EXP(-LN(2)/25))/(LN(2)/25)*Calculateur!HC177*Calculateur!HE177*VLOOKUP('Données projet'!$B$18,Paramètres!$A$1:$I$89,3,0)*0.475*44/12</f>
        <v>0</v>
      </c>
      <c r="HI177" s="23">
        <f>EXP(-LN(2)/2)*HI176+(1-EXP(-LN(2)/2))/(LN(2)/2)*HC177*HF177*VLOOKUP('Données projet'!$B$18,Paramètres!$A$1:$I$89,3,0)*0.475*44/12</f>
        <v>0</v>
      </c>
      <c r="HJ177" s="24">
        <f t="shared" si="190"/>
        <v>0</v>
      </c>
    </row>
    <row r="178" spans="1:218" x14ac:dyDescent="0.3">
      <c r="A178" s="11">
        <f t="shared" si="161"/>
        <v>175</v>
      </c>
      <c r="B178" s="76">
        <f>'Scénario référence'!$B$16*5+'Scénario référence'!$B$17*0+'Scénario référence'!$B$18*5</f>
        <v>3.9405000000000001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14.448500000000001</v>
      </c>
      <c r="H178" s="69">
        <f t="shared" si="110"/>
        <v>161.30656666666667</v>
      </c>
      <c r="I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68.599322754969677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210.54472399593521</v>
      </c>
      <c r="T178" s="62">
        <f t="shared" si="142"/>
        <v>181.14158435194193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68.599322754969677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289.05608923588198</v>
      </c>
      <c r="AO178" s="62">
        <f t="shared" si="144"/>
        <v>220.06639020312738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68.599322754969677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>
        <f>BD178*VLOOKUP('Données projet'!$B$11,Paramètres!$A$1:$I$89,3,0)*VLOOKUP('Données projet'!$B$11,Paramètres!$A$1:$I$89,5,0)</f>
        <v>0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299.54950406029354</v>
      </c>
      <c r="BJ178" s="62">
        <f t="shared" si="146"/>
        <v>208.26364698165739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68.599322754969677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>
        <f>BY178*VLOOKUP('Données projet'!$B$12,Paramètres!$A$1:$I$89,3,0)*VLOOKUP('Données projet'!$B$12,Paramètres!$A$1:$I$89,5,0)</f>
        <v>0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441.30518831297212</v>
      </c>
      <c r="CE178" s="62">
        <f t="shared" si="148"/>
        <v>270.42872405271851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68.599322754969677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-1.1368683772161603E-13</v>
      </c>
      <c r="CU178" s="18">
        <f>CT178*VLOOKUP('Données projet'!$B$13,Paramètres!$A$1:$I$89,3,0)*VLOOKUP('Données projet'!$B$13,Paramètres!$A$1:$I$89,5,0)</f>
        <v>-9.9316821433603781E-14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310.81258463659196</v>
      </c>
      <c r="CZ178" s="62">
        <f t="shared" si="150"/>
        <v>287.31099756692083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68.599322754969677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>
        <f>DO178*VLOOKUP('Données projet'!$B$14,Paramètres!$A$1:$I$89,3,0)*VLOOKUP('Données projet'!$B$14,Paramètres!$A$1:$I$89,5,0)</f>
        <v>0</v>
      </c>
      <c r="DQ178" s="14" t="e">
        <f t="shared" si="176"/>
        <v>#NUM!</v>
      </c>
      <c r="DR178" s="22" t="e">
        <f t="shared" si="177"/>
        <v>#NUM!</v>
      </c>
      <c r="DS178" s="62" t="e">
        <f t="shared" si="125"/>
        <v>#NUM!</v>
      </c>
      <c r="DT178" s="62">
        <f ca="1">AVERAGE(OFFSET($DS$3,0,0,'Données projet'!$E$14+1,1))-AVERAGE(OFFSET($H$3,0,0,'Données projet'!$E$14+1,1))</f>
        <v>431.19274104373625</v>
      </c>
      <c r="DU178" s="62">
        <f t="shared" si="152"/>
        <v>264.67919175178133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68.599322754969677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-6.2527760746888816E-13</v>
      </c>
      <c r="EK178" s="18">
        <f>EJ178*VLOOKUP('Données projet'!$B$15,Paramètres!$A$1:$I$89,3,0)*VLOOKUP('Données projet'!$B$15,Paramètres!$A$1:$I$89,5,0)</f>
        <v>-2.9262992029543964E-13</v>
      </c>
      <c r="EL178" s="14" t="e">
        <f t="shared" si="179"/>
        <v>#NUM!</v>
      </c>
      <c r="EM178" s="22" t="e">
        <f t="shared" si="180"/>
        <v>#NUM!</v>
      </c>
      <c r="EN178" s="62" t="e">
        <f t="shared" si="128"/>
        <v>#NUM!</v>
      </c>
      <c r="EO178" s="62">
        <f ca="1">AVERAGE(OFFSET($EN$3,0,0,'Données projet'!$E$15+1,1))-AVERAGE(OFFSET($H$3,0,0,'Données projet'!$E$15+1,1))</f>
        <v>291.68530745507815</v>
      </c>
      <c r="EP178" s="62">
        <f t="shared" si="154"/>
        <v>175.95121106728979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</v>
      </c>
      <c r="EZ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68.599322754969677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-1.1368683772161603E-13</v>
      </c>
      <c r="FF178" s="18">
        <f>FE178*VLOOKUP('Données projet'!$B$16,Paramètres!$A$1:$I$89,3,0)*VLOOKUP('Données projet'!$B$16,Paramètres!$A$1:$I$89,5,0)</f>
        <v>-7.4487616075202823E-14</v>
      </c>
      <c r="FG178" s="14" t="e">
        <f t="shared" si="182"/>
        <v>#NUM!</v>
      </c>
      <c r="FH178" s="22" t="e">
        <f t="shared" si="183"/>
        <v>#NUM!</v>
      </c>
      <c r="FI178" s="62" t="e">
        <f t="shared" si="131"/>
        <v>#NUM!</v>
      </c>
      <c r="FJ178" s="62">
        <f ca="1">AVERAGE(OFFSET($FI$3,0,0,'Données projet'!$E$16+1,1))-AVERAGE(OFFSET($H$3,0,0,'Données projet'!$E$16+1,1))</f>
        <v>248.75689726928428</v>
      </c>
      <c r="FK178" s="62">
        <f t="shared" si="156"/>
        <v>232.02291680388336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projet'!$B$16,Paramètres!$A$1:$I$89,3,0)*0.475*44/12</f>
        <v>0</v>
      </c>
      <c r="FR178" s="23">
        <f>EXP(-LN(2)/25)*FR177+(1-EXP(-LN(2)/25))/(LN(2)/25)*Calculateur!FM178*Calculateur!FO178*VLOOKUP('Données projet'!$B$16,Paramètres!$A$1:$I$89,3,0)*0.475*44/12</f>
        <v>0</v>
      </c>
      <c r="FS178" s="23">
        <f>EXP(-LN(2)/2)*FS177+(1-EXP(-LN(2)/2))/(LN(2)/2)*FM178*FP178*VLOOKUP('Données projet'!$B$16,Paramètres!$A$1:$I$89,3,0)*0.475*44/12</f>
        <v>0</v>
      </c>
      <c r="FT178" s="24">
        <f t="shared" si="184"/>
        <v>0</v>
      </c>
      <c r="FU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68.599322754969677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5.1159076974727213E-13</v>
      </c>
      <c r="GA178" s="18">
        <f>FZ178*VLOOKUP('Données projet'!$B$17,Paramètres!$A$1:$I$89,3,0)*VLOOKUP('Données projet'!$B$17,Paramètres!$A$1:$I$89,5,0)</f>
        <v>3.0593128030886877E-13</v>
      </c>
      <c r="GB178" s="14">
        <f t="shared" si="185"/>
        <v>4.0350537939347394E-12</v>
      </c>
      <c r="GC178" s="22">
        <f t="shared" si="186"/>
        <v>7.5605490043076185E-12</v>
      </c>
      <c r="GD178" s="62">
        <f t="shared" si="134"/>
        <v>288.19751676822972</v>
      </c>
      <c r="GE178" s="62">
        <f ca="1">AVERAGE(OFFSET($GD$3,0,0,'Données projet'!$E$17+1,1))-AVERAGE(OFFSET($H$3,0,0,'Données projet'!$E$17+1,1))</f>
        <v>315.909549580511</v>
      </c>
      <c r="GF178" s="62">
        <f t="shared" si="158"/>
        <v>208.56856525402051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projet'!$B$17,Paramètres!$A$1:$I$89,3,0)*0.475*44/12</f>
        <v>0</v>
      </c>
      <c r="GM178" s="23">
        <f>EXP(-LN(2)/25)*GM177+(1-EXP(-LN(2)/25))/(LN(2)/25)*Calculateur!GH178*Calculateur!GJ178*VLOOKUP('Données projet'!$B$17,Paramètres!$A$1:$I$89,3,0)*0.475*44/12</f>
        <v>0</v>
      </c>
      <c r="GN178" s="23">
        <f>EXP(-LN(2)/2)*GN177+(1-EXP(-LN(2)/2))/(LN(2)/2)*GH178*GK178*VLOOKUP('Données projet'!$B$17,Paramètres!$A$1:$I$89,3,0)*0.475*44/12</f>
        <v>0</v>
      </c>
      <c r="GO178" s="23">
        <f t="shared" si="187"/>
        <v>0</v>
      </c>
      <c r="GP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68.599322754969677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1.1368683772161603E-13</v>
      </c>
      <c r="GV178" s="18">
        <f>GU178*VLOOKUP('Données projet'!$B$18,Paramètres!$A$1:$I$89,3,0)*VLOOKUP('Données projet'!$B$18,Paramètres!$A$1:$I$89,5,0)</f>
        <v>7.626113074366004E-14</v>
      </c>
      <c r="GW178" s="14">
        <f t="shared" si="188"/>
        <v>1.1823749172251317E-12</v>
      </c>
      <c r="GX178" s="22">
        <f t="shared" si="189"/>
        <v>2.1921244502123119E-12</v>
      </c>
      <c r="GY178" s="62">
        <f t="shared" si="137"/>
        <v>288.19751676822438</v>
      </c>
      <c r="GZ178" s="62">
        <f ca="1">AVERAGE(OFFSET($GY$3,0,0,'Données projet'!$E$18+1,1))-AVERAGE(OFFSET($H$3,0,0,'Données projet'!$E$18+1,1))</f>
        <v>254.35742752782755</v>
      </c>
      <c r="HA178" s="62">
        <f t="shared" si="160"/>
        <v>171.79611712137395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>
        <f>EXP(-LN(2)/35)*HG177+(1-EXP(-LN(2)/35))/(LN(2)/35)*HC178*HD178*VLOOKUP('Données projet'!$B$18,Paramètres!$A$1:$I$89,3,0)*0.475*44/12</f>
        <v>0</v>
      </c>
      <c r="HH178" s="23">
        <f>EXP(-LN(2)/25)*HH177+(1-EXP(-LN(2)/25))/(LN(2)/25)*Calculateur!HC178*Calculateur!HE178*VLOOKUP('Données projet'!$B$18,Paramètres!$A$1:$I$89,3,0)*0.475*44/12</f>
        <v>0</v>
      </c>
      <c r="HI178" s="23">
        <f>EXP(-LN(2)/2)*HI177+(1-EXP(-LN(2)/2))/(LN(2)/2)*HC178*HF178*VLOOKUP('Données projet'!$B$18,Paramètres!$A$1:$I$89,3,0)*0.475*44/12</f>
        <v>0</v>
      </c>
      <c r="HJ178" s="24">
        <f t="shared" si="190"/>
        <v>0</v>
      </c>
    </row>
    <row r="179" spans="1:218" x14ac:dyDescent="0.3">
      <c r="A179" s="11">
        <f t="shared" si="161"/>
        <v>176</v>
      </c>
      <c r="B179" s="76">
        <f>'Scénario référence'!$B$16*5+'Scénario référence'!$B$17*0+'Scénario référence'!$B$18*5</f>
        <v>3.9405000000000001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14.448500000000001</v>
      </c>
      <c r="H179" s="69">
        <f t="shared" si="110"/>
        <v>161.30656666666667</v>
      </c>
      <c r="I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68.623621373725754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210.54472399593521</v>
      </c>
      <c r="T179" s="62">
        <f t="shared" si="142"/>
        <v>181.14158435194193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68.623621373725754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289.05608923588198</v>
      </c>
      <c r="AO179" s="62">
        <f t="shared" si="144"/>
        <v>220.06639020312738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68.623621373725754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>
        <f>BD179*VLOOKUP('Données projet'!$B$11,Paramètres!$A$1:$I$89,3,0)*VLOOKUP('Données projet'!$B$11,Paramètres!$A$1:$I$89,5,0)</f>
        <v>0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299.54950406029354</v>
      </c>
      <c r="BJ179" s="62">
        <f t="shared" si="146"/>
        <v>208.26364698165739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68.623621373725754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>
        <f>BY179*VLOOKUP('Données projet'!$B$12,Paramètres!$A$1:$I$89,3,0)*VLOOKUP('Données projet'!$B$12,Paramètres!$A$1:$I$89,5,0)</f>
        <v>0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441.30518831297212</v>
      </c>
      <c r="CE179" s="62">
        <f t="shared" si="148"/>
        <v>270.42872405271851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68.623621373725754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-1.1368683772161603E-13</v>
      </c>
      <c r="CU179" s="18">
        <f>CT179*VLOOKUP('Données projet'!$B$13,Paramètres!$A$1:$I$89,3,0)*VLOOKUP('Données projet'!$B$13,Paramètres!$A$1:$I$89,5,0)</f>
        <v>-9.9316821433603781E-14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310.81258463659196</v>
      </c>
      <c r="CZ179" s="62">
        <f t="shared" si="150"/>
        <v>287.31099756692083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68.623621373725754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>
        <f>DO179*VLOOKUP('Données projet'!$B$14,Paramètres!$A$1:$I$89,3,0)*VLOOKUP('Données projet'!$B$14,Paramètres!$A$1:$I$89,5,0)</f>
        <v>0</v>
      </c>
      <c r="DQ179" s="14" t="e">
        <f t="shared" si="176"/>
        <v>#NUM!</v>
      </c>
      <c r="DR179" s="22" t="e">
        <f t="shared" si="177"/>
        <v>#NUM!</v>
      </c>
      <c r="DS179" s="62" t="e">
        <f t="shared" si="125"/>
        <v>#NUM!</v>
      </c>
      <c r="DT179" s="62">
        <f ca="1">AVERAGE(OFFSET($DS$3,0,0,'Données projet'!$E$14+1,1))-AVERAGE(OFFSET($H$3,0,0,'Données projet'!$E$14+1,1))</f>
        <v>431.19274104373625</v>
      </c>
      <c r="DU179" s="62">
        <f t="shared" si="152"/>
        <v>264.67919175178133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68.623621373725754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-6.2527760746888816E-13</v>
      </c>
      <c r="EK179" s="18">
        <f>EJ179*VLOOKUP('Données projet'!$B$15,Paramètres!$A$1:$I$89,3,0)*VLOOKUP('Données projet'!$B$15,Paramètres!$A$1:$I$89,5,0)</f>
        <v>-2.9262992029543964E-13</v>
      </c>
      <c r="EL179" s="14" t="e">
        <f t="shared" si="179"/>
        <v>#NUM!</v>
      </c>
      <c r="EM179" s="22" t="e">
        <f t="shared" si="180"/>
        <v>#NUM!</v>
      </c>
      <c r="EN179" s="62" t="e">
        <f t="shared" si="128"/>
        <v>#NUM!</v>
      </c>
      <c r="EO179" s="62">
        <f ca="1">AVERAGE(OFFSET($EN$3,0,0,'Données projet'!$E$15+1,1))-AVERAGE(OFFSET($H$3,0,0,'Données projet'!$E$15+1,1))</f>
        <v>291.68530745507815</v>
      </c>
      <c r="EP179" s="62">
        <f t="shared" si="154"/>
        <v>175.95121106728979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</v>
      </c>
      <c r="EZ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68.623621373725754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-1.1368683772161603E-13</v>
      </c>
      <c r="FF179" s="18">
        <f>FE179*VLOOKUP('Données projet'!$B$16,Paramètres!$A$1:$I$89,3,0)*VLOOKUP('Données projet'!$B$16,Paramètres!$A$1:$I$89,5,0)</f>
        <v>-7.4487616075202823E-14</v>
      </c>
      <c r="FG179" s="14" t="e">
        <f t="shared" si="182"/>
        <v>#NUM!</v>
      </c>
      <c r="FH179" s="22" t="e">
        <f t="shared" si="183"/>
        <v>#NUM!</v>
      </c>
      <c r="FI179" s="62" t="e">
        <f t="shared" si="131"/>
        <v>#NUM!</v>
      </c>
      <c r="FJ179" s="62">
        <f ca="1">AVERAGE(OFFSET($FI$3,0,0,'Données projet'!$E$16+1,1))-AVERAGE(OFFSET($H$3,0,0,'Données projet'!$E$16+1,1))</f>
        <v>248.75689726928428</v>
      </c>
      <c r="FK179" s="62">
        <f t="shared" si="156"/>
        <v>232.02291680388336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projet'!$B$16,Paramètres!$A$1:$I$89,3,0)*0.475*44/12</f>
        <v>0</v>
      </c>
      <c r="FR179" s="23">
        <f>EXP(-LN(2)/25)*FR178+(1-EXP(-LN(2)/25))/(LN(2)/25)*Calculateur!FM179*Calculateur!FO179*VLOOKUP('Données projet'!$B$16,Paramètres!$A$1:$I$89,3,0)*0.475*44/12</f>
        <v>0</v>
      </c>
      <c r="FS179" s="23">
        <f>EXP(-LN(2)/2)*FS178+(1-EXP(-LN(2)/2))/(LN(2)/2)*FM179*FP179*VLOOKUP('Données projet'!$B$16,Paramètres!$A$1:$I$89,3,0)*0.475*44/12</f>
        <v>0</v>
      </c>
      <c r="FT179" s="24">
        <f t="shared" si="184"/>
        <v>0</v>
      </c>
      <c r="FU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68.623621373725754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5.1159076974727213E-13</v>
      </c>
      <c r="GA179" s="18">
        <f>FZ179*VLOOKUP('Données projet'!$B$17,Paramètres!$A$1:$I$89,3,0)*VLOOKUP('Données projet'!$B$17,Paramètres!$A$1:$I$89,5,0)</f>
        <v>3.0593128030886877E-13</v>
      </c>
      <c r="GB179" s="14">
        <f t="shared" si="185"/>
        <v>4.0350537939347394E-12</v>
      </c>
      <c r="GC179" s="22">
        <f t="shared" si="186"/>
        <v>7.5605490043076185E-12</v>
      </c>
      <c r="GD179" s="62">
        <f t="shared" si="134"/>
        <v>288.28661170366865</v>
      </c>
      <c r="GE179" s="62">
        <f ca="1">AVERAGE(OFFSET($GD$3,0,0,'Données projet'!$E$17+1,1))-AVERAGE(OFFSET($H$3,0,0,'Données projet'!$E$17+1,1))</f>
        <v>315.909549580511</v>
      </c>
      <c r="GF179" s="62">
        <f t="shared" si="158"/>
        <v>208.56856525402051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projet'!$B$17,Paramètres!$A$1:$I$89,3,0)*0.475*44/12</f>
        <v>0</v>
      </c>
      <c r="GM179" s="23">
        <f>EXP(-LN(2)/25)*GM178+(1-EXP(-LN(2)/25))/(LN(2)/25)*Calculateur!GH179*Calculateur!GJ179*VLOOKUP('Données projet'!$B$17,Paramètres!$A$1:$I$89,3,0)*0.475*44/12</f>
        <v>0</v>
      </c>
      <c r="GN179" s="23">
        <f>EXP(-LN(2)/2)*GN178+(1-EXP(-LN(2)/2))/(LN(2)/2)*GH179*GK179*VLOOKUP('Données projet'!$B$17,Paramètres!$A$1:$I$89,3,0)*0.475*44/12</f>
        <v>0</v>
      </c>
      <c r="GO179" s="23">
        <f t="shared" si="187"/>
        <v>0</v>
      </c>
      <c r="GP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68.623621373725754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1.1368683772161603E-13</v>
      </c>
      <c r="GV179" s="18">
        <f>GU179*VLOOKUP('Données projet'!$B$18,Paramètres!$A$1:$I$89,3,0)*VLOOKUP('Données projet'!$B$18,Paramètres!$A$1:$I$89,5,0)</f>
        <v>7.626113074366004E-14</v>
      </c>
      <c r="GW179" s="14">
        <f t="shared" si="188"/>
        <v>1.1823749172251317E-12</v>
      </c>
      <c r="GX179" s="22">
        <f t="shared" si="189"/>
        <v>2.1921244502123119E-12</v>
      </c>
      <c r="GY179" s="62">
        <f t="shared" si="137"/>
        <v>288.28661170366331</v>
      </c>
      <c r="GZ179" s="62">
        <f ca="1">AVERAGE(OFFSET($GY$3,0,0,'Données projet'!$E$18+1,1))-AVERAGE(OFFSET($H$3,0,0,'Données projet'!$E$18+1,1))</f>
        <v>254.35742752782755</v>
      </c>
      <c r="HA179" s="62">
        <f t="shared" si="160"/>
        <v>171.79611712137395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>
        <f>EXP(-LN(2)/35)*HG178+(1-EXP(-LN(2)/35))/(LN(2)/35)*HC179*HD179*VLOOKUP('Données projet'!$B$18,Paramètres!$A$1:$I$89,3,0)*0.475*44/12</f>
        <v>0</v>
      </c>
      <c r="HH179" s="23">
        <f>EXP(-LN(2)/25)*HH178+(1-EXP(-LN(2)/25))/(LN(2)/25)*Calculateur!HC179*Calculateur!HE179*VLOOKUP('Données projet'!$B$18,Paramètres!$A$1:$I$89,3,0)*0.475*44/12</f>
        <v>0</v>
      </c>
      <c r="HI179" s="23">
        <f>EXP(-LN(2)/2)*HI178+(1-EXP(-LN(2)/2))/(LN(2)/2)*HC179*HF179*VLOOKUP('Données projet'!$B$18,Paramètres!$A$1:$I$89,3,0)*0.475*44/12</f>
        <v>0</v>
      </c>
      <c r="HJ179" s="24">
        <f t="shared" si="190"/>
        <v>0</v>
      </c>
    </row>
    <row r="180" spans="1:218" x14ac:dyDescent="0.3">
      <c r="A180" s="11">
        <f t="shared" si="161"/>
        <v>177</v>
      </c>
      <c r="B180" s="76">
        <f>'Scénario référence'!$B$16*5+'Scénario référence'!$B$17*0+'Scénario référence'!$B$18*5</f>
        <v>3.9405000000000001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14.448500000000001</v>
      </c>
      <c r="H180" s="69">
        <f t="shared" si="110"/>
        <v>161.30656666666667</v>
      </c>
      <c r="I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68.647498465769985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210.54472399593521</v>
      </c>
      <c r="T180" s="62">
        <f t="shared" si="142"/>
        <v>181.14158435194193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68.647498465769985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289.05608923588198</v>
      </c>
      <c r="AO180" s="62">
        <f t="shared" si="144"/>
        <v>220.06639020312738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68.647498465769985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>
        <f>BD180*VLOOKUP('Données projet'!$B$11,Paramètres!$A$1:$I$89,3,0)*VLOOKUP('Données projet'!$B$11,Paramètres!$A$1:$I$89,5,0)</f>
        <v>0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299.54950406029354</v>
      </c>
      <c r="BJ180" s="62">
        <f t="shared" si="146"/>
        <v>208.26364698165739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68.647498465769985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>
        <f>BY180*VLOOKUP('Données projet'!$B$12,Paramètres!$A$1:$I$89,3,0)*VLOOKUP('Données projet'!$B$12,Paramètres!$A$1:$I$89,5,0)</f>
        <v>0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441.30518831297212</v>
      </c>
      <c r="CE180" s="62">
        <f t="shared" si="148"/>
        <v>270.42872405271851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68.647498465769985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-1.1368683772161603E-13</v>
      </c>
      <c r="CU180" s="18">
        <f>CT180*VLOOKUP('Données projet'!$B$13,Paramètres!$A$1:$I$89,3,0)*VLOOKUP('Données projet'!$B$13,Paramètres!$A$1:$I$89,5,0)</f>
        <v>-9.9316821433603781E-14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310.81258463659196</v>
      </c>
      <c r="CZ180" s="62">
        <f t="shared" si="150"/>
        <v>287.31099756692083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68.647498465769985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>
        <f>DO180*VLOOKUP('Données projet'!$B$14,Paramètres!$A$1:$I$89,3,0)*VLOOKUP('Données projet'!$B$14,Paramètres!$A$1:$I$89,5,0)</f>
        <v>0</v>
      </c>
      <c r="DQ180" s="14" t="e">
        <f t="shared" si="176"/>
        <v>#NUM!</v>
      </c>
      <c r="DR180" s="22" t="e">
        <f t="shared" si="177"/>
        <v>#NUM!</v>
      </c>
      <c r="DS180" s="62" t="e">
        <f t="shared" si="125"/>
        <v>#NUM!</v>
      </c>
      <c r="DT180" s="62">
        <f ca="1">AVERAGE(OFFSET($DS$3,0,0,'Données projet'!$E$14+1,1))-AVERAGE(OFFSET($H$3,0,0,'Données projet'!$E$14+1,1))</f>
        <v>431.19274104373625</v>
      </c>
      <c r="DU180" s="62">
        <f t="shared" si="152"/>
        <v>264.67919175178133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68.647498465769985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-6.2527760746888816E-13</v>
      </c>
      <c r="EK180" s="18">
        <f>EJ180*VLOOKUP('Données projet'!$B$15,Paramètres!$A$1:$I$89,3,0)*VLOOKUP('Données projet'!$B$15,Paramètres!$A$1:$I$89,5,0)</f>
        <v>-2.9262992029543964E-13</v>
      </c>
      <c r="EL180" s="14" t="e">
        <f t="shared" si="179"/>
        <v>#NUM!</v>
      </c>
      <c r="EM180" s="22" t="e">
        <f t="shared" si="180"/>
        <v>#NUM!</v>
      </c>
      <c r="EN180" s="62" t="e">
        <f t="shared" si="128"/>
        <v>#NUM!</v>
      </c>
      <c r="EO180" s="62">
        <f ca="1">AVERAGE(OFFSET($EN$3,0,0,'Données projet'!$E$15+1,1))-AVERAGE(OFFSET($H$3,0,0,'Données projet'!$E$15+1,1))</f>
        <v>291.68530745507815</v>
      </c>
      <c r="EP180" s="62">
        <f t="shared" si="154"/>
        <v>175.95121106728979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0</v>
      </c>
      <c r="EZ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68.647498465769985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-1.1368683772161603E-13</v>
      </c>
      <c r="FF180" s="18">
        <f>FE180*VLOOKUP('Données projet'!$B$16,Paramètres!$A$1:$I$89,3,0)*VLOOKUP('Données projet'!$B$16,Paramètres!$A$1:$I$89,5,0)</f>
        <v>-7.4487616075202823E-14</v>
      </c>
      <c r="FG180" s="14" t="e">
        <f t="shared" si="182"/>
        <v>#NUM!</v>
      </c>
      <c r="FH180" s="22" t="e">
        <f t="shared" si="183"/>
        <v>#NUM!</v>
      </c>
      <c r="FI180" s="62" t="e">
        <f t="shared" si="131"/>
        <v>#NUM!</v>
      </c>
      <c r="FJ180" s="62">
        <f ca="1">AVERAGE(OFFSET($FI$3,0,0,'Données projet'!$E$16+1,1))-AVERAGE(OFFSET($H$3,0,0,'Données projet'!$E$16+1,1))</f>
        <v>248.75689726928428</v>
      </c>
      <c r="FK180" s="62">
        <f t="shared" si="156"/>
        <v>232.02291680388336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projet'!$B$16,Paramètres!$A$1:$I$89,3,0)*0.475*44/12</f>
        <v>0</v>
      </c>
      <c r="FR180" s="23">
        <f>EXP(-LN(2)/25)*FR179+(1-EXP(-LN(2)/25))/(LN(2)/25)*Calculateur!FM180*Calculateur!FO180*VLOOKUP('Données projet'!$B$16,Paramètres!$A$1:$I$89,3,0)*0.475*44/12</f>
        <v>0</v>
      </c>
      <c r="FS180" s="23">
        <f>EXP(-LN(2)/2)*FS179+(1-EXP(-LN(2)/2))/(LN(2)/2)*FM180*FP180*VLOOKUP('Données projet'!$B$16,Paramètres!$A$1:$I$89,3,0)*0.475*44/12</f>
        <v>0</v>
      </c>
      <c r="FT180" s="24">
        <f t="shared" si="184"/>
        <v>0</v>
      </c>
      <c r="FU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68.647498465769985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5.1159076974727213E-13</v>
      </c>
      <c r="GA180" s="18">
        <f>FZ180*VLOOKUP('Données projet'!$B$17,Paramètres!$A$1:$I$89,3,0)*VLOOKUP('Données projet'!$B$17,Paramètres!$A$1:$I$89,5,0)</f>
        <v>3.0593128030886877E-13</v>
      </c>
      <c r="GB180" s="14">
        <f t="shared" si="185"/>
        <v>4.0350537939347394E-12</v>
      </c>
      <c r="GC180" s="22">
        <f t="shared" si="186"/>
        <v>7.5605490043076185E-12</v>
      </c>
      <c r="GD180" s="62">
        <f t="shared" si="134"/>
        <v>288.37416104116414</v>
      </c>
      <c r="GE180" s="62">
        <f ca="1">AVERAGE(OFFSET($GD$3,0,0,'Données projet'!$E$17+1,1))-AVERAGE(OFFSET($H$3,0,0,'Données projet'!$E$17+1,1))</f>
        <v>315.909549580511</v>
      </c>
      <c r="GF180" s="62">
        <f t="shared" si="158"/>
        <v>208.56856525402051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projet'!$B$17,Paramètres!$A$1:$I$89,3,0)*0.475*44/12</f>
        <v>0</v>
      </c>
      <c r="GM180" s="23">
        <f>EXP(-LN(2)/25)*GM179+(1-EXP(-LN(2)/25))/(LN(2)/25)*Calculateur!GH180*Calculateur!GJ180*VLOOKUP('Données projet'!$B$17,Paramètres!$A$1:$I$89,3,0)*0.475*44/12</f>
        <v>0</v>
      </c>
      <c r="GN180" s="23">
        <f>EXP(-LN(2)/2)*GN179+(1-EXP(-LN(2)/2))/(LN(2)/2)*GH180*GK180*VLOOKUP('Données projet'!$B$17,Paramètres!$A$1:$I$89,3,0)*0.475*44/12</f>
        <v>0</v>
      </c>
      <c r="GO180" s="23">
        <f t="shared" si="187"/>
        <v>0</v>
      </c>
      <c r="GP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68.647498465769985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1.1368683772161603E-13</v>
      </c>
      <c r="GV180" s="18">
        <f>GU180*VLOOKUP('Données projet'!$B$18,Paramètres!$A$1:$I$89,3,0)*VLOOKUP('Données projet'!$B$18,Paramètres!$A$1:$I$89,5,0)</f>
        <v>7.626113074366004E-14</v>
      </c>
      <c r="GW180" s="14">
        <f t="shared" si="188"/>
        <v>1.1823749172251317E-12</v>
      </c>
      <c r="GX180" s="22">
        <f t="shared" si="189"/>
        <v>2.1921244502123119E-12</v>
      </c>
      <c r="GY180" s="62">
        <f t="shared" si="137"/>
        <v>288.3741610411588</v>
      </c>
      <c r="GZ180" s="62">
        <f ca="1">AVERAGE(OFFSET($GY$3,0,0,'Données projet'!$E$18+1,1))-AVERAGE(OFFSET($H$3,0,0,'Données projet'!$E$18+1,1))</f>
        <v>254.35742752782755</v>
      </c>
      <c r="HA180" s="62">
        <f t="shared" si="160"/>
        <v>171.79611712137395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>
        <f>EXP(-LN(2)/35)*HG179+(1-EXP(-LN(2)/35))/(LN(2)/35)*HC180*HD180*VLOOKUP('Données projet'!$B$18,Paramètres!$A$1:$I$89,3,0)*0.475*44/12</f>
        <v>0</v>
      </c>
      <c r="HH180" s="23">
        <f>EXP(-LN(2)/25)*HH179+(1-EXP(-LN(2)/25))/(LN(2)/25)*Calculateur!HC180*Calculateur!HE180*VLOOKUP('Données projet'!$B$18,Paramètres!$A$1:$I$89,3,0)*0.475*44/12</f>
        <v>0</v>
      </c>
      <c r="HI180" s="23">
        <f>EXP(-LN(2)/2)*HI179+(1-EXP(-LN(2)/2))/(LN(2)/2)*HC180*HF180*VLOOKUP('Données projet'!$B$18,Paramètres!$A$1:$I$89,3,0)*0.475*44/12</f>
        <v>0</v>
      </c>
      <c r="HJ180" s="24">
        <f t="shared" si="190"/>
        <v>0</v>
      </c>
    </row>
    <row r="181" spans="1:218" x14ac:dyDescent="0.3">
      <c r="A181" s="11">
        <f t="shared" si="161"/>
        <v>178</v>
      </c>
      <c r="B181" s="76">
        <f>'Scénario référence'!$B$16*5+'Scénario référence'!$B$17*0+'Scénario référence'!$B$18*5</f>
        <v>3.9405000000000001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14.448500000000001</v>
      </c>
      <c r="H181" s="69">
        <f t="shared" si="110"/>
        <v>161.30656666666667</v>
      </c>
      <c r="I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68.670961343648443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210.54472399593521</v>
      </c>
      <c r="T181" s="62">
        <f t="shared" si="142"/>
        <v>181.14158435194193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68.670961343648443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289.05608923588198</v>
      </c>
      <c r="AO181" s="62">
        <f t="shared" si="144"/>
        <v>220.06639020312738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68.670961343648443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projet'!$B$11,Paramètres!$A$1:$I$89,3,0)*VLOOKUP('Données projet'!$B$11,Paramètres!$A$1:$I$89,5,0)</f>
        <v>0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299.54950406029354</v>
      </c>
      <c r="BJ181" s="62">
        <f t="shared" si="146"/>
        <v>208.26364698165739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68.670961343648443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>
        <f>BY181*VLOOKUP('Données projet'!$B$12,Paramètres!$A$1:$I$89,3,0)*VLOOKUP('Données projet'!$B$12,Paramètres!$A$1:$I$89,5,0)</f>
        <v>0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441.30518831297212</v>
      </c>
      <c r="CE181" s="62">
        <f t="shared" si="148"/>
        <v>270.42872405271851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68.670961343648443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-1.1368683772161603E-13</v>
      </c>
      <c r="CU181" s="18">
        <f>CT181*VLOOKUP('Données projet'!$B$13,Paramètres!$A$1:$I$89,3,0)*VLOOKUP('Données projet'!$B$13,Paramètres!$A$1:$I$89,5,0)</f>
        <v>-9.9316821433603781E-14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310.81258463659196</v>
      </c>
      <c r="CZ181" s="62">
        <f t="shared" si="150"/>
        <v>287.31099756692083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68.670961343648443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>
        <f>DO181*VLOOKUP('Données projet'!$B$14,Paramètres!$A$1:$I$89,3,0)*VLOOKUP('Données projet'!$B$14,Paramètres!$A$1:$I$89,5,0)</f>
        <v>0</v>
      </c>
      <c r="DQ181" s="14" t="e">
        <f t="shared" si="176"/>
        <v>#NUM!</v>
      </c>
      <c r="DR181" s="22" t="e">
        <f t="shared" si="177"/>
        <v>#NUM!</v>
      </c>
      <c r="DS181" s="62" t="e">
        <f t="shared" si="125"/>
        <v>#NUM!</v>
      </c>
      <c r="DT181" s="62">
        <f ca="1">AVERAGE(OFFSET($DS$3,0,0,'Données projet'!$E$14+1,1))-AVERAGE(OFFSET($H$3,0,0,'Données projet'!$E$14+1,1))</f>
        <v>431.19274104373625</v>
      </c>
      <c r="DU181" s="62">
        <f t="shared" si="152"/>
        <v>264.67919175178133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68.670961343648443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-6.2527760746888816E-13</v>
      </c>
      <c r="EK181" s="18">
        <f>EJ181*VLOOKUP('Données projet'!$B$15,Paramètres!$A$1:$I$89,3,0)*VLOOKUP('Données projet'!$B$15,Paramètres!$A$1:$I$89,5,0)</f>
        <v>-2.9262992029543964E-13</v>
      </c>
      <c r="EL181" s="14" t="e">
        <f t="shared" si="179"/>
        <v>#NUM!</v>
      </c>
      <c r="EM181" s="22" t="e">
        <f t="shared" si="180"/>
        <v>#NUM!</v>
      </c>
      <c r="EN181" s="62" t="e">
        <f t="shared" si="128"/>
        <v>#NUM!</v>
      </c>
      <c r="EO181" s="62">
        <f ca="1">AVERAGE(OFFSET($EN$3,0,0,'Données projet'!$E$15+1,1))-AVERAGE(OFFSET($H$3,0,0,'Données projet'!$E$15+1,1))</f>
        <v>291.68530745507815</v>
      </c>
      <c r="EP181" s="62">
        <f t="shared" si="154"/>
        <v>175.95121106728979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0</v>
      </c>
      <c r="EZ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68.670961343648443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-1.1368683772161603E-13</v>
      </c>
      <c r="FF181" s="18">
        <f>FE181*VLOOKUP('Données projet'!$B$16,Paramètres!$A$1:$I$89,3,0)*VLOOKUP('Données projet'!$B$16,Paramètres!$A$1:$I$89,5,0)</f>
        <v>-7.4487616075202823E-14</v>
      </c>
      <c r="FG181" s="14" t="e">
        <f t="shared" si="182"/>
        <v>#NUM!</v>
      </c>
      <c r="FH181" s="22" t="e">
        <f t="shared" si="183"/>
        <v>#NUM!</v>
      </c>
      <c r="FI181" s="62" t="e">
        <f t="shared" si="131"/>
        <v>#NUM!</v>
      </c>
      <c r="FJ181" s="62">
        <f ca="1">AVERAGE(OFFSET($FI$3,0,0,'Données projet'!$E$16+1,1))-AVERAGE(OFFSET($H$3,0,0,'Données projet'!$E$16+1,1))</f>
        <v>248.75689726928428</v>
      </c>
      <c r="FK181" s="62">
        <f t="shared" si="156"/>
        <v>232.02291680388336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projet'!$B$16,Paramètres!$A$1:$I$89,3,0)*0.475*44/12</f>
        <v>0</v>
      </c>
      <c r="FR181" s="23">
        <f>EXP(-LN(2)/25)*FR180+(1-EXP(-LN(2)/25))/(LN(2)/25)*Calculateur!FM181*Calculateur!FO181*VLOOKUP('Données projet'!$B$16,Paramètres!$A$1:$I$89,3,0)*0.475*44/12</f>
        <v>0</v>
      </c>
      <c r="FS181" s="23">
        <f>EXP(-LN(2)/2)*FS180+(1-EXP(-LN(2)/2))/(LN(2)/2)*FM181*FP181*VLOOKUP('Données projet'!$B$16,Paramètres!$A$1:$I$89,3,0)*0.475*44/12</f>
        <v>0</v>
      </c>
      <c r="FT181" s="24">
        <f t="shared" si="184"/>
        <v>0</v>
      </c>
      <c r="FU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68.670961343648443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5.1159076974727213E-13</v>
      </c>
      <c r="GA181" s="18">
        <f>FZ181*VLOOKUP('Données projet'!$B$17,Paramètres!$A$1:$I$89,3,0)*VLOOKUP('Données projet'!$B$17,Paramètres!$A$1:$I$89,5,0)</f>
        <v>3.0593128030886877E-13</v>
      </c>
      <c r="GB181" s="14">
        <f t="shared" si="185"/>
        <v>4.0350537939347394E-12</v>
      </c>
      <c r="GC181" s="22">
        <f t="shared" si="186"/>
        <v>7.5605490043076185E-12</v>
      </c>
      <c r="GD181" s="62">
        <f t="shared" si="134"/>
        <v>288.46019159338516</v>
      </c>
      <c r="GE181" s="62">
        <f ca="1">AVERAGE(OFFSET($GD$3,0,0,'Données projet'!$E$17+1,1))-AVERAGE(OFFSET($H$3,0,0,'Données projet'!$E$17+1,1))</f>
        <v>315.909549580511</v>
      </c>
      <c r="GF181" s="62">
        <f t="shared" si="158"/>
        <v>208.56856525402051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projet'!$B$17,Paramètres!$A$1:$I$89,3,0)*0.475*44/12</f>
        <v>0</v>
      </c>
      <c r="GM181" s="23">
        <f>EXP(-LN(2)/25)*GM180+(1-EXP(-LN(2)/25))/(LN(2)/25)*Calculateur!GH181*Calculateur!GJ181*VLOOKUP('Données projet'!$B$17,Paramètres!$A$1:$I$89,3,0)*0.475*44/12</f>
        <v>0</v>
      </c>
      <c r="GN181" s="23">
        <f>EXP(-LN(2)/2)*GN180+(1-EXP(-LN(2)/2))/(LN(2)/2)*GH181*GK181*VLOOKUP('Données projet'!$B$17,Paramètres!$A$1:$I$89,3,0)*0.475*44/12</f>
        <v>0</v>
      </c>
      <c r="GO181" s="23">
        <f t="shared" si="187"/>
        <v>0</v>
      </c>
      <c r="GP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68.670961343648443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1.1368683772161603E-13</v>
      </c>
      <c r="GV181" s="18">
        <f>GU181*VLOOKUP('Données projet'!$B$18,Paramètres!$A$1:$I$89,3,0)*VLOOKUP('Données projet'!$B$18,Paramètres!$A$1:$I$89,5,0)</f>
        <v>7.626113074366004E-14</v>
      </c>
      <c r="GW181" s="14">
        <f t="shared" si="188"/>
        <v>1.1823749172251317E-12</v>
      </c>
      <c r="GX181" s="22">
        <f t="shared" si="189"/>
        <v>2.1921244502123119E-12</v>
      </c>
      <c r="GY181" s="62">
        <f t="shared" si="137"/>
        <v>288.46019159337982</v>
      </c>
      <c r="GZ181" s="62">
        <f ca="1">AVERAGE(OFFSET($GY$3,0,0,'Données projet'!$E$18+1,1))-AVERAGE(OFFSET($H$3,0,0,'Données projet'!$E$18+1,1))</f>
        <v>254.35742752782755</v>
      </c>
      <c r="HA181" s="62">
        <f t="shared" si="160"/>
        <v>171.79611712137395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>
        <f>EXP(-LN(2)/35)*HG180+(1-EXP(-LN(2)/35))/(LN(2)/35)*HC181*HD181*VLOOKUP('Données projet'!$B$18,Paramètres!$A$1:$I$89,3,0)*0.475*44/12</f>
        <v>0</v>
      </c>
      <c r="HH181" s="23">
        <f>EXP(-LN(2)/25)*HH180+(1-EXP(-LN(2)/25))/(LN(2)/25)*Calculateur!HC181*Calculateur!HE181*VLOOKUP('Données projet'!$B$18,Paramètres!$A$1:$I$89,3,0)*0.475*44/12</f>
        <v>0</v>
      </c>
      <c r="HI181" s="23">
        <f>EXP(-LN(2)/2)*HI180+(1-EXP(-LN(2)/2))/(LN(2)/2)*HC181*HF181*VLOOKUP('Données projet'!$B$18,Paramètres!$A$1:$I$89,3,0)*0.475*44/12</f>
        <v>0</v>
      </c>
      <c r="HJ181" s="24">
        <f t="shared" si="190"/>
        <v>0</v>
      </c>
    </row>
    <row r="182" spans="1:218" x14ac:dyDescent="0.3">
      <c r="A182" s="11">
        <f t="shared" si="161"/>
        <v>179</v>
      </c>
      <c r="B182" s="76">
        <f>'Scénario référence'!$B$16*5+'Scénario référence'!$B$17*0+'Scénario référence'!$B$18*5</f>
        <v>3.9405000000000001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14.448500000000001</v>
      </c>
      <c r="H182" s="69">
        <f t="shared" si="110"/>
        <v>161.30656666666667</v>
      </c>
      <c r="I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68.694017193050826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210.54472399593521</v>
      </c>
      <c r="T182" s="62">
        <f t="shared" si="142"/>
        <v>181.14158435194193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68.694017193050826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289.05608923588198</v>
      </c>
      <c r="AO182" s="62">
        <f t="shared" si="144"/>
        <v>220.06639020312738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68.694017193050826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projet'!$B$11,Paramètres!$A$1:$I$89,3,0)*VLOOKUP('Données projet'!$B$11,Paramètres!$A$1:$I$89,5,0)</f>
        <v>0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299.54950406029354</v>
      </c>
      <c r="BJ182" s="62">
        <f t="shared" si="146"/>
        <v>208.26364698165739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68.694017193050826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>
        <f>BY182*VLOOKUP('Données projet'!$B$12,Paramètres!$A$1:$I$89,3,0)*VLOOKUP('Données projet'!$B$12,Paramètres!$A$1:$I$89,5,0)</f>
        <v>0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441.30518831297212</v>
      </c>
      <c r="CE182" s="62">
        <f t="shared" si="148"/>
        <v>270.42872405271851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68.694017193050826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-1.1368683772161603E-13</v>
      </c>
      <c r="CU182" s="18">
        <f>CT182*VLOOKUP('Données projet'!$B$13,Paramètres!$A$1:$I$89,3,0)*VLOOKUP('Données projet'!$B$13,Paramètres!$A$1:$I$89,5,0)</f>
        <v>-9.9316821433603781E-14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310.81258463659196</v>
      </c>
      <c r="CZ182" s="62">
        <f t="shared" si="150"/>
        <v>287.31099756692083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68.694017193050826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>
        <f>DO182*VLOOKUP('Données projet'!$B$14,Paramètres!$A$1:$I$89,3,0)*VLOOKUP('Données projet'!$B$14,Paramètres!$A$1:$I$89,5,0)</f>
        <v>0</v>
      </c>
      <c r="DQ182" s="14" t="e">
        <f t="shared" si="176"/>
        <v>#NUM!</v>
      </c>
      <c r="DR182" s="22" t="e">
        <f t="shared" si="177"/>
        <v>#NUM!</v>
      </c>
      <c r="DS182" s="62" t="e">
        <f t="shared" si="125"/>
        <v>#NUM!</v>
      </c>
      <c r="DT182" s="62">
        <f ca="1">AVERAGE(OFFSET($DS$3,0,0,'Données projet'!$E$14+1,1))-AVERAGE(OFFSET($H$3,0,0,'Données projet'!$E$14+1,1))</f>
        <v>431.19274104373625</v>
      </c>
      <c r="DU182" s="62">
        <f t="shared" si="152"/>
        <v>264.67919175178133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68.694017193050826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-6.2527760746888816E-13</v>
      </c>
      <c r="EK182" s="18">
        <f>EJ182*VLOOKUP('Données projet'!$B$15,Paramètres!$A$1:$I$89,3,0)*VLOOKUP('Données projet'!$B$15,Paramètres!$A$1:$I$89,5,0)</f>
        <v>-2.9262992029543964E-13</v>
      </c>
      <c r="EL182" s="14" t="e">
        <f t="shared" si="179"/>
        <v>#NUM!</v>
      </c>
      <c r="EM182" s="22" t="e">
        <f t="shared" si="180"/>
        <v>#NUM!</v>
      </c>
      <c r="EN182" s="62" t="e">
        <f t="shared" si="128"/>
        <v>#NUM!</v>
      </c>
      <c r="EO182" s="62">
        <f ca="1">AVERAGE(OFFSET($EN$3,0,0,'Données projet'!$E$15+1,1))-AVERAGE(OFFSET($H$3,0,0,'Données projet'!$E$15+1,1))</f>
        <v>291.68530745507815</v>
      </c>
      <c r="EP182" s="62">
        <f t="shared" si="154"/>
        <v>175.95121106728979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0</v>
      </c>
      <c r="EZ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68.694017193050826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-1.1368683772161603E-13</v>
      </c>
      <c r="FF182" s="18">
        <f>FE182*VLOOKUP('Données projet'!$B$16,Paramètres!$A$1:$I$89,3,0)*VLOOKUP('Données projet'!$B$16,Paramètres!$A$1:$I$89,5,0)</f>
        <v>-7.4487616075202823E-14</v>
      </c>
      <c r="FG182" s="14" t="e">
        <f t="shared" si="182"/>
        <v>#NUM!</v>
      </c>
      <c r="FH182" s="22" t="e">
        <f t="shared" si="183"/>
        <v>#NUM!</v>
      </c>
      <c r="FI182" s="62" t="e">
        <f t="shared" si="131"/>
        <v>#NUM!</v>
      </c>
      <c r="FJ182" s="62">
        <f ca="1">AVERAGE(OFFSET($FI$3,0,0,'Données projet'!$E$16+1,1))-AVERAGE(OFFSET($H$3,0,0,'Données projet'!$E$16+1,1))</f>
        <v>248.75689726928428</v>
      </c>
      <c r="FK182" s="62">
        <f t="shared" si="156"/>
        <v>232.02291680388336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projet'!$B$16,Paramètres!$A$1:$I$89,3,0)*0.475*44/12</f>
        <v>0</v>
      </c>
      <c r="FR182" s="23">
        <f>EXP(-LN(2)/25)*FR181+(1-EXP(-LN(2)/25))/(LN(2)/25)*Calculateur!FM182*Calculateur!FO182*VLOOKUP('Données projet'!$B$16,Paramètres!$A$1:$I$89,3,0)*0.475*44/12</f>
        <v>0</v>
      </c>
      <c r="FS182" s="23">
        <f>EXP(-LN(2)/2)*FS181+(1-EXP(-LN(2)/2))/(LN(2)/2)*FM182*FP182*VLOOKUP('Données projet'!$B$16,Paramètres!$A$1:$I$89,3,0)*0.475*44/12</f>
        <v>0</v>
      </c>
      <c r="FT182" s="24">
        <f t="shared" si="184"/>
        <v>0</v>
      </c>
      <c r="FU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68.694017193050826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5.1159076974727213E-13</v>
      </c>
      <c r="GA182" s="18">
        <f>FZ182*VLOOKUP('Données projet'!$B$17,Paramètres!$A$1:$I$89,3,0)*VLOOKUP('Données projet'!$B$17,Paramètres!$A$1:$I$89,5,0)</f>
        <v>3.0593128030886877E-13</v>
      </c>
      <c r="GB182" s="14">
        <f t="shared" si="185"/>
        <v>4.0350537939347394E-12</v>
      </c>
      <c r="GC182" s="22">
        <f t="shared" si="186"/>
        <v>7.5605490043076185E-12</v>
      </c>
      <c r="GD182" s="62">
        <f t="shared" si="134"/>
        <v>288.5447297078606</v>
      </c>
      <c r="GE182" s="62">
        <f ca="1">AVERAGE(OFFSET($GD$3,0,0,'Données projet'!$E$17+1,1))-AVERAGE(OFFSET($H$3,0,0,'Données projet'!$E$17+1,1))</f>
        <v>315.909549580511</v>
      </c>
      <c r="GF182" s="62">
        <f t="shared" si="158"/>
        <v>208.56856525402051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projet'!$B$17,Paramètres!$A$1:$I$89,3,0)*0.475*44/12</f>
        <v>0</v>
      </c>
      <c r="GM182" s="23">
        <f>EXP(-LN(2)/25)*GM181+(1-EXP(-LN(2)/25))/(LN(2)/25)*Calculateur!GH182*Calculateur!GJ182*VLOOKUP('Données projet'!$B$17,Paramètres!$A$1:$I$89,3,0)*0.475*44/12</f>
        <v>0</v>
      </c>
      <c r="GN182" s="23">
        <f>EXP(-LN(2)/2)*GN181+(1-EXP(-LN(2)/2))/(LN(2)/2)*GH182*GK182*VLOOKUP('Données projet'!$B$17,Paramètres!$A$1:$I$89,3,0)*0.475*44/12</f>
        <v>0</v>
      </c>
      <c r="GO182" s="23">
        <f t="shared" si="187"/>
        <v>0</v>
      </c>
      <c r="GP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68.694017193050826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1.1368683772161603E-13</v>
      </c>
      <c r="GV182" s="18">
        <f>GU182*VLOOKUP('Données projet'!$B$18,Paramètres!$A$1:$I$89,3,0)*VLOOKUP('Données projet'!$B$18,Paramètres!$A$1:$I$89,5,0)</f>
        <v>7.626113074366004E-14</v>
      </c>
      <c r="GW182" s="14">
        <f t="shared" si="188"/>
        <v>1.1823749172251317E-12</v>
      </c>
      <c r="GX182" s="22">
        <f t="shared" si="189"/>
        <v>2.1921244502123119E-12</v>
      </c>
      <c r="GY182" s="62">
        <f t="shared" si="137"/>
        <v>288.54472970785525</v>
      </c>
      <c r="GZ182" s="62">
        <f ca="1">AVERAGE(OFFSET($GY$3,0,0,'Données projet'!$E$18+1,1))-AVERAGE(OFFSET($H$3,0,0,'Données projet'!$E$18+1,1))</f>
        <v>254.35742752782755</v>
      </c>
      <c r="HA182" s="62">
        <f t="shared" si="160"/>
        <v>171.79611712137395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>
        <f>EXP(-LN(2)/35)*HG181+(1-EXP(-LN(2)/35))/(LN(2)/35)*HC182*HD182*VLOOKUP('Données projet'!$B$18,Paramètres!$A$1:$I$89,3,0)*0.475*44/12</f>
        <v>0</v>
      </c>
      <c r="HH182" s="23">
        <f>EXP(-LN(2)/25)*HH181+(1-EXP(-LN(2)/25))/(LN(2)/25)*Calculateur!HC182*Calculateur!HE182*VLOOKUP('Données projet'!$B$18,Paramètres!$A$1:$I$89,3,0)*0.475*44/12</f>
        <v>0</v>
      </c>
      <c r="HI182" s="23">
        <f>EXP(-LN(2)/2)*HI181+(1-EXP(-LN(2)/2))/(LN(2)/2)*HC182*HF182*VLOOKUP('Données projet'!$B$18,Paramètres!$A$1:$I$89,3,0)*0.475*44/12</f>
        <v>0</v>
      </c>
      <c r="HJ182" s="24">
        <f t="shared" si="190"/>
        <v>0</v>
      </c>
    </row>
    <row r="183" spans="1:218" x14ac:dyDescent="0.3">
      <c r="A183" s="11">
        <f t="shared" si="161"/>
        <v>180</v>
      </c>
      <c r="B183" s="76">
        <f>'Scénario référence'!$B$16*5+'Scénario référence'!$B$17*0+'Scénario référence'!$B$18*5</f>
        <v>3.9405000000000001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14.448500000000001</v>
      </c>
      <c r="H183" s="69">
        <f t="shared" si="110"/>
        <v>161.30656666666667</v>
      </c>
      <c r="I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68.716673075011258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210.54472399593521</v>
      </c>
      <c r="T183" s="62">
        <f t="shared" si="142"/>
        <v>181.14158435194193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68.716673075011258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289.05608923588198</v>
      </c>
      <c r="AO183" s="62">
        <f t="shared" si="144"/>
        <v>220.06639020312738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68.716673075011258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projet'!$B$11,Paramètres!$A$1:$I$89,3,0)*VLOOKUP('Données projet'!$B$11,Paramètres!$A$1:$I$89,5,0)</f>
        <v>0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299.54950406029354</v>
      </c>
      <c r="BJ183" s="62">
        <f t="shared" si="146"/>
        <v>208.26364698165739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68.716673075011258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>
        <f>BY183*VLOOKUP('Données projet'!$B$12,Paramètres!$A$1:$I$89,3,0)*VLOOKUP('Données projet'!$B$12,Paramètres!$A$1:$I$89,5,0)</f>
        <v>0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441.30518831297212</v>
      </c>
      <c r="CE183" s="62">
        <f t="shared" si="148"/>
        <v>270.42872405271851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68.716673075011258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-1.1368683772161603E-13</v>
      </c>
      <c r="CU183" s="18">
        <f>CT183*VLOOKUP('Données projet'!$B$13,Paramètres!$A$1:$I$89,3,0)*VLOOKUP('Données projet'!$B$13,Paramètres!$A$1:$I$89,5,0)</f>
        <v>-9.9316821433603781E-14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310.81258463659196</v>
      </c>
      <c r="CZ183" s="62">
        <f t="shared" si="150"/>
        <v>287.31099756692083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68.716673075011258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>
        <f>DO183*VLOOKUP('Données projet'!$B$14,Paramètres!$A$1:$I$89,3,0)*VLOOKUP('Données projet'!$B$14,Paramètres!$A$1:$I$89,5,0)</f>
        <v>0</v>
      </c>
      <c r="DQ183" s="14" t="e">
        <f t="shared" si="176"/>
        <v>#NUM!</v>
      </c>
      <c r="DR183" s="22" t="e">
        <f t="shared" si="177"/>
        <v>#NUM!</v>
      </c>
      <c r="DS183" s="62" t="e">
        <f t="shared" si="125"/>
        <v>#NUM!</v>
      </c>
      <c r="DT183" s="62">
        <f ca="1">AVERAGE(OFFSET($DS$3,0,0,'Données projet'!$E$14+1,1))-AVERAGE(OFFSET($H$3,0,0,'Données projet'!$E$14+1,1))</f>
        <v>431.19274104373625</v>
      </c>
      <c r="DU183" s="62">
        <f t="shared" si="152"/>
        <v>264.67919175178133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68.716673075011258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-6.2527760746888816E-13</v>
      </c>
      <c r="EK183" s="18">
        <f>EJ183*VLOOKUP('Données projet'!$B$15,Paramètres!$A$1:$I$89,3,0)*VLOOKUP('Données projet'!$B$15,Paramètres!$A$1:$I$89,5,0)</f>
        <v>-2.9262992029543964E-13</v>
      </c>
      <c r="EL183" s="14" t="e">
        <f t="shared" si="179"/>
        <v>#NUM!</v>
      </c>
      <c r="EM183" s="22" t="e">
        <f t="shared" si="180"/>
        <v>#NUM!</v>
      </c>
      <c r="EN183" s="62" t="e">
        <f t="shared" si="128"/>
        <v>#NUM!</v>
      </c>
      <c r="EO183" s="62">
        <f ca="1">AVERAGE(OFFSET($EN$3,0,0,'Données projet'!$E$15+1,1))-AVERAGE(OFFSET($H$3,0,0,'Données projet'!$E$15+1,1))</f>
        <v>291.68530745507815</v>
      </c>
      <c r="EP183" s="62">
        <f t="shared" si="154"/>
        <v>175.95121106728979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0</v>
      </c>
      <c r="EZ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68.716673075011258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-1.1368683772161603E-13</v>
      </c>
      <c r="FF183" s="18">
        <f>FE183*VLOOKUP('Données projet'!$B$16,Paramètres!$A$1:$I$89,3,0)*VLOOKUP('Données projet'!$B$16,Paramètres!$A$1:$I$89,5,0)</f>
        <v>-7.4487616075202823E-14</v>
      </c>
      <c r="FG183" s="14" t="e">
        <f t="shared" si="182"/>
        <v>#NUM!</v>
      </c>
      <c r="FH183" s="22" t="e">
        <f t="shared" si="183"/>
        <v>#NUM!</v>
      </c>
      <c r="FI183" s="62" t="e">
        <f t="shared" si="131"/>
        <v>#NUM!</v>
      </c>
      <c r="FJ183" s="62">
        <f ca="1">AVERAGE(OFFSET($FI$3,0,0,'Données projet'!$E$16+1,1))-AVERAGE(OFFSET($H$3,0,0,'Données projet'!$E$16+1,1))</f>
        <v>248.75689726928428</v>
      </c>
      <c r="FK183" s="62">
        <f t="shared" si="156"/>
        <v>232.02291680388336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projet'!$B$16,Paramètres!$A$1:$I$89,3,0)*0.475*44/12</f>
        <v>0</v>
      </c>
      <c r="FR183" s="23">
        <f>EXP(-LN(2)/25)*FR182+(1-EXP(-LN(2)/25))/(LN(2)/25)*Calculateur!FM183*Calculateur!FO183*VLOOKUP('Données projet'!$B$16,Paramètres!$A$1:$I$89,3,0)*0.475*44/12</f>
        <v>0</v>
      </c>
      <c r="FS183" s="23">
        <f>EXP(-LN(2)/2)*FS182+(1-EXP(-LN(2)/2))/(LN(2)/2)*FM183*FP183*VLOOKUP('Données projet'!$B$16,Paramètres!$A$1:$I$89,3,0)*0.475*44/12</f>
        <v>0</v>
      </c>
      <c r="FT183" s="24">
        <f t="shared" si="184"/>
        <v>0</v>
      </c>
      <c r="FU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68.716673075011258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5.1159076974727213E-13</v>
      </c>
      <c r="GA183" s="18">
        <f>FZ183*VLOOKUP('Données projet'!$B$17,Paramètres!$A$1:$I$89,3,0)*VLOOKUP('Données projet'!$B$17,Paramètres!$A$1:$I$89,5,0)</f>
        <v>3.0593128030886877E-13</v>
      </c>
      <c r="GB183" s="14">
        <f t="shared" si="185"/>
        <v>4.0350537939347394E-12</v>
      </c>
      <c r="GC183" s="22">
        <f t="shared" si="186"/>
        <v>7.5605490043076185E-12</v>
      </c>
      <c r="GD183" s="62">
        <f t="shared" si="134"/>
        <v>288.62780127504885</v>
      </c>
      <c r="GE183" s="62">
        <f ca="1">AVERAGE(OFFSET($GD$3,0,0,'Données projet'!$E$17+1,1))-AVERAGE(OFFSET($H$3,0,0,'Données projet'!$E$17+1,1))</f>
        <v>315.909549580511</v>
      </c>
      <c r="GF183" s="62">
        <f t="shared" si="158"/>
        <v>208.56856525402051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projet'!$B$17,Paramètres!$A$1:$I$89,3,0)*0.475*44/12</f>
        <v>0</v>
      </c>
      <c r="GM183" s="23">
        <f>EXP(-LN(2)/25)*GM182+(1-EXP(-LN(2)/25))/(LN(2)/25)*Calculateur!GH183*Calculateur!GJ183*VLOOKUP('Données projet'!$B$17,Paramètres!$A$1:$I$89,3,0)*0.475*44/12</f>
        <v>0</v>
      </c>
      <c r="GN183" s="23">
        <f>EXP(-LN(2)/2)*GN182+(1-EXP(-LN(2)/2))/(LN(2)/2)*GH183*GK183*VLOOKUP('Données projet'!$B$17,Paramètres!$A$1:$I$89,3,0)*0.475*44/12</f>
        <v>0</v>
      </c>
      <c r="GO183" s="23">
        <f t="shared" si="187"/>
        <v>0</v>
      </c>
      <c r="GP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68.716673075011258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1.1368683772161603E-13</v>
      </c>
      <c r="GV183" s="18">
        <f>GU183*VLOOKUP('Données projet'!$B$18,Paramètres!$A$1:$I$89,3,0)*VLOOKUP('Données projet'!$B$18,Paramètres!$A$1:$I$89,5,0)</f>
        <v>7.626113074366004E-14</v>
      </c>
      <c r="GW183" s="14">
        <f t="shared" si="188"/>
        <v>1.1823749172251317E-12</v>
      </c>
      <c r="GX183" s="22">
        <f t="shared" si="189"/>
        <v>2.1921244502123119E-12</v>
      </c>
      <c r="GY183" s="62">
        <f t="shared" si="137"/>
        <v>288.62780127504351</v>
      </c>
      <c r="GZ183" s="62">
        <f ca="1">AVERAGE(OFFSET($GY$3,0,0,'Données projet'!$E$18+1,1))-AVERAGE(OFFSET($H$3,0,0,'Données projet'!$E$18+1,1))</f>
        <v>254.35742752782755</v>
      </c>
      <c r="HA183" s="62">
        <f t="shared" si="160"/>
        <v>171.79611712137395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>
        <f>EXP(-LN(2)/35)*HG182+(1-EXP(-LN(2)/35))/(LN(2)/35)*HC183*HD183*VLOOKUP('Données projet'!$B$18,Paramètres!$A$1:$I$89,3,0)*0.475*44/12</f>
        <v>0</v>
      </c>
      <c r="HH183" s="23">
        <f>EXP(-LN(2)/25)*HH182+(1-EXP(-LN(2)/25))/(LN(2)/25)*Calculateur!HC183*Calculateur!HE183*VLOOKUP('Données projet'!$B$18,Paramètres!$A$1:$I$89,3,0)*0.475*44/12</f>
        <v>0</v>
      </c>
      <c r="HI183" s="23">
        <f>EXP(-LN(2)/2)*HI182+(1-EXP(-LN(2)/2))/(LN(2)/2)*HC183*HF183*VLOOKUP('Données projet'!$B$18,Paramètres!$A$1:$I$89,3,0)*0.475*44/12</f>
        <v>0</v>
      </c>
      <c r="HJ183" s="24">
        <f t="shared" si="190"/>
        <v>0</v>
      </c>
    </row>
    <row r="184" spans="1:218" x14ac:dyDescent="0.3">
      <c r="A184" s="11">
        <f t="shared" si="161"/>
        <v>181</v>
      </c>
      <c r="B184" s="76">
        <f>'Scénario référence'!$B$16*5+'Scénario référence'!$B$17*0+'Scénario référence'!$B$18*5</f>
        <v>3.9405000000000001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14.448500000000001</v>
      </c>
      <c r="H184" s="69">
        <f t="shared" si="110"/>
        <v>161.30656666666667</v>
      </c>
      <c r="I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68.738935928070617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210.54472399593521</v>
      </c>
      <c r="T184" s="62">
        <f t="shared" si="142"/>
        <v>181.14158435194193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68.738935928070617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289.05608923588198</v>
      </c>
      <c r="AO184" s="62">
        <f t="shared" si="144"/>
        <v>220.06639020312738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68.738935928070617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projet'!$B$11,Paramètres!$A$1:$I$89,3,0)*VLOOKUP('Données projet'!$B$11,Paramètres!$A$1:$I$89,5,0)</f>
        <v>0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299.54950406029354</v>
      </c>
      <c r="BJ184" s="62">
        <f t="shared" si="146"/>
        <v>208.26364698165739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68.738935928070617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>
        <f>BY184*VLOOKUP('Données projet'!$B$12,Paramètres!$A$1:$I$89,3,0)*VLOOKUP('Données projet'!$B$12,Paramètres!$A$1:$I$89,5,0)</f>
        <v>0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441.30518831297212</v>
      </c>
      <c r="CE184" s="62">
        <f t="shared" si="148"/>
        <v>270.42872405271851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68.738935928070617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-1.1368683772161603E-13</v>
      </c>
      <c r="CU184" s="18">
        <f>CT184*VLOOKUP('Données projet'!$B$13,Paramètres!$A$1:$I$89,3,0)*VLOOKUP('Données projet'!$B$13,Paramètres!$A$1:$I$89,5,0)</f>
        <v>-9.9316821433603781E-14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310.81258463659196</v>
      </c>
      <c r="CZ184" s="62">
        <f t="shared" si="150"/>
        <v>287.31099756692083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68.738935928070617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>
        <f>DO184*VLOOKUP('Données projet'!$B$14,Paramètres!$A$1:$I$89,3,0)*VLOOKUP('Données projet'!$B$14,Paramètres!$A$1:$I$89,5,0)</f>
        <v>0</v>
      </c>
      <c r="DQ184" s="14" t="e">
        <f t="shared" si="176"/>
        <v>#NUM!</v>
      </c>
      <c r="DR184" s="22" t="e">
        <f t="shared" si="177"/>
        <v>#NUM!</v>
      </c>
      <c r="DS184" s="62" t="e">
        <f t="shared" si="125"/>
        <v>#NUM!</v>
      </c>
      <c r="DT184" s="62">
        <f ca="1">AVERAGE(OFFSET($DS$3,0,0,'Données projet'!$E$14+1,1))-AVERAGE(OFFSET($H$3,0,0,'Données projet'!$E$14+1,1))</f>
        <v>431.19274104373625</v>
      </c>
      <c r="DU184" s="62">
        <f t="shared" si="152"/>
        <v>264.67919175178133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68.738935928070617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-6.2527760746888816E-13</v>
      </c>
      <c r="EK184" s="18">
        <f>EJ184*VLOOKUP('Données projet'!$B$15,Paramètres!$A$1:$I$89,3,0)*VLOOKUP('Données projet'!$B$15,Paramètres!$A$1:$I$89,5,0)</f>
        <v>-2.9262992029543964E-13</v>
      </c>
      <c r="EL184" s="14" t="e">
        <f t="shared" si="179"/>
        <v>#NUM!</v>
      </c>
      <c r="EM184" s="22" t="e">
        <f t="shared" si="180"/>
        <v>#NUM!</v>
      </c>
      <c r="EN184" s="62" t="e">
        <f t="shared" si="128"/>
        <v>#NUM!</v>
      </c>
      <c r="EO184" s="62">
        <f ca="1">AVERAGE(OFFSET($EN$3,0,0,'Données projet'!$E$15+1,1))-AVERAGE(OFFSET($H$3,0,0,'Données projet'!$E$15+1,1))</f>
        <v>291.68530745507815</v>
      </c>
      <c r="EP184" s="62">
        <f t="shared" si="154"/>
        <v>175.95121106728979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0</v>
      </c>
      <c r="EZ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68.738935928070617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-1.1368683772161603E-13</v>
      </c>
      <c r="FF184" s="18">
        <f>FE184*VLOOKUP('Données projet'!$B$16,Paramètres!$A$1:$I$89,3,0)*VLOOKUP('Données projet'!$B$16,Paramètres!$A$1:$I$89,5,0)</f>
        <v>-7.4487616075202823E-14</v>
      </c>
      <c r="FG184" s="14" t="e">
        <f t="shared" si="182"/>
        <v>#NUM!</v>
      </c>
      <c r="FH184" s="22" t="e">
        <f t="shared" si="183"/>
        <v>#NUM!</v>
      </c>
      <c r="FI184" s="62" t="e">
        <f t="shared" si="131"/>
        <v>#NUM!</v>
      </c>
      <c r="FJ184" s="62">
        <f ca="1">AVERAGE(OFFSET($FI$3,0,0,'Données projet'!$E$16+1,1))-AVERAGE(OFFSET($H$3,0,0,'Données projet'!$E$16+1,1))</f>
        <v>248.75689726928428</v>
      </c>
      <c r="FK184" s="62">
        <f t="shared" si="156"/>
        <v>232.02291680388336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projet'!$B$16,Paramètres!$A$1:$I$89,3,0)*0.475*44/12</f>
        <v>0</v>
      </c>
      <c r="FR184" s="23">
        <f>EXP(-LN(2)/25)*FR183+(1-EXP(-LN(2)/25))/(LN(2)/25)*Calculateur!FM184*Calculateur!FO184*VLOOKUP('Données projet'!$B$16,Paramètres!$A$1:$I$89,3,0)*0.475*44/12</f>
        <v>0</v>
      </c>
      <c r="FS184" s="23">
        <f>EXP(-LN(2)/2)*FS183+(1-EXP(-LN(2)/2))/(LN(2)/2)*FM184*FP184*VLOOKUP('Données projet'!$B$16,Paramètres!$A$1:$I$89,3,0)*0.475*44/12</f>
        <v>0</v>
      </c>
      <c r="FT184" s="24">
        <f t="shared" si="184"/>
        <v>0</v>
      </c>
      <c r="FU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68.738935928070617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5.1159076974727213E-13</v>
      </c>
      <c r="GA184" s="18">
        <f>FZ184*VLOOKUP('Données projet'!$B$17,Paramètres!$A$1:$I$89,3,0)*VLOOKUP('Données projet'!$B$17,Paramètres!$A$1:$I$89,5,0)</f>
        <v>3.0593128030886877E-13</v>
      </c>
      <c r="GB184" s="14">
        <f t="shared" si="185"/>
        <v>4.0350537939347394E-12</v>
      </c>
      <c r="GC184" s="22">
        <f t="shared" si="186"/>
        <v>7.5605490043076185E-12</v>
      </c>
      <c r="GD184" s="62">
        <f t="shared" si="134"/>
        <v>288.70943173626648</v>
      </c>
      <c r="GE184" s="62">
        <f ca="1">AVERAGE(OFFSET($GD$3,0,0,'Données projet'!$E$17+1,1))-AVERAGE(OFFSET($H$3,0,0,'Données projet'!$E$17+1,1))</f>
        <v>315.909549580511</v>
      </c>
      <c r="GF184" s="62">
        <f t="shared" si="158"/>
        <v>208.56856525402051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projet'!$B$17,Paramètres!$A$1:$I$89,3,0)*0.475*44/12</f>
        <v>0</v>
      </c>
      <c r="GM184" s="23">
        <f>EXP(-LN(2)/25)*GM183+(1-EXP(-LN(2)/25))/(LN(2)/25)*Calculateur!GH184*Calculateur!GJ184*VLOOKUP('Données projet'!$B$17,Paramètres!$A$1:$I$89,3,0)*0.475*44/12</f>
        <v>0</v>
      </c>
      <c r="GN184" s="23">
        <f>EXP(-LN(2)/2)*GN183+(1-EXP(-LN(2)/2))/(LN(2)/2)*GH184*GK184*VLOOKUP('Données projet'!$B$17,Paramètres!$A$1:$I$89,3,0)*0.475*44/12</f>
        <v>0</v>
      </c>
      <c r="GO184" s="23">
        <f t="shared" si="187"/>
        <v>0</v>
      </c>
      <c r="GP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68.738935928070617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1.1368683772161603E-13</v>
      </c>
      <c r="GV184" s="18">
        <f>GU184*VLOOKUP('Données projet'!$B$18,Paramètres!$A$1:$I$89,3,0)*VLOOKUP('Données projet'!$B$18,Paramètres!$A$1:$I$89,5,0)</f>
        <v>7.626113074366004E-14</v>
      </c>
      <c r="GW184" s="14">
        <f t="shared" si="188"/>
        <v>1.1823749172251317E-12</v>
      </c>
      <c r="GX184" s="22">
        <f t="shared" si="189"/>
        <v>2.1921244502123119E-12</v>
      </c>
      <c r="GY184" s="62">
        <f t="shared" si="137"/>
        <v>288.70943173626114</v>
      </c>
      <c r="GZ184" s="62">
        <f ca="1">AVERAGE(OFFSET($GY$3,0,0,'Données projet'!$E$18+1,1))-AVERAGE(OFFSET($H$3,0,0,'Données projet'!$E$18+1,1))</f>
        <v>254.35742752782755</v>
      </c>
      <c r="HA184" s="62">
        <f t="shared" si="160"/>
        <v>171.79611712137395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>
        <f>EXP(-LN(2)/35)*HG183+(1-EXP(-LN(2)/35))/(LN(2)/35)*HC184*HD184*VLOOKUP('Données projet'!$B$18,Paramètres!$A$1:$I$89,3,0)*0.475*44/12</f>
        <v>0</v>
      </c>
      <c r="HH184" s="23">
        <f>EXP(-LN(2)/25)*HH183+(1-EXP(-LN(2)/25))/(LN(2)/25)*Calculateur!HC184*Calculateur!HE184*VLOOKUP('Données projet'!$B$18,Paramètres!$A$1:$I$89,3,0)*0.475*44/12</f>
        <v>0</v>
      </c>
      <c r="HI184" s="23">
        <f>EXP(-LN(2)/2)*HI183+(1-EXP(-LN(2)/2))/(LN(2)/2)*HC184*HF184*VLOOKUP('Données projet'!$B$18,Paramètres!$A$1:$I$89,3,0)*0.475*44/12</f>
        <v>0</v>
      </c>
      <c r="HJ184" s="24">
        <f t="shared" si="190"/>
        <v>0</v>
      </c>
    </row>
    <row r="185" spans="1:218" x14ac:dyDescent="0.3">
      <c r="A185" s="11">
        <f t="shared" si="161"/>
        <v>182</v>
      </c>
      <c r="B185" s="76">
        <f>'Scénario référence'!$B$16*5+'Scénario référence'!$B$17*0+'Scénario référence'!$B$18*5</f>
        <v>3.9405000000000001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14.448500000000001</v>
      </c>
      <c r="H185" s="69">
        <f t="shared" si="110"/>
        <v>161.30656666666667</v>
      </c>
      <c r="I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68.760812570401697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210.54472399593521</v>
      </c>
      <c r="T185" s="62">
        <f t="shared" si="142"/>
        <v>181.14158435194193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68.760812570401697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289.05608923588198</v>
      </c>
      <c r="AO185" s="62">
        <f t="shared" si="144"/>
        <v>220.06639020312738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68.760812570401697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projet'!$B$11,Paramètres!$A$1:$I$89,3,0)*VLOOKUP('Données projet'!$B$11,Paramètres!$A$1:$I$89,5,0)</f>
        <v>0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299.54950406029354</v>
      </c>
      <c r="BJ185" s="62">
        <f t="shared" si="146"/>
        <v>208.26364698165739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68.760812570401697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>
        <f>BY185*VLOOKUP('Données projet'!$B$12,Paramètres!$A$1:$I$89,3,0)*VLOOKUP('Données projet'!$B$12,Paramètres!$A$1:$I$89,5,0)</f>
        <v>0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441.30518831297212</v>
      </c>
      <c r="CE185" s="62">
        <f t="shared" si="148"/>
        <v>270.42872405271851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68.760812570401697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-1.1368683772161603E-13</v>
      </c>
      <c r="CU185" s="18">
        <f>CT185*VLOOKUP('Données projet'!$B$13,Paramètres!$A$1:$I$89,3,0)*VLOOKUP('Données projet'!$B$13,Paramètres!$A$1:$I$89,5,0)</f>
        <v>-9.9316821433603781E-14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310.81258463659196</v>
      </c>
      <c r="CZ185" s="62">
        <f t="shared" si="150"/>
        <v>287.31099756692083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68.760812570401697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>
        <f>DO185*VLOOKUP('Données projet'!$B$14,Paramètres!$A$1:$I$89,3,0)*VLOOKUP('Données projet'!$B$14,Paramètres!$A$1:$I$89,5,0)</f>
        <v>0</v>
      </c>
      <c r="DQ185" s="14" t="e">
        <f t="shared" si="176"/>
        <v>#NUM!</v>
      </c>
      <c r="DR185" s="22" t="e">
        <f t="shared" si="177"/>
        <v>#NUM!</v>
      </c>
      <c r="DS185" s="62" t="e">
        <f t="shared" si="125"/>
        <v>#NUM!</v>
      </c>
      <c r="DT185" s="62">
        <f ca="1">AVERAGE(OFFSET($DS$3,0,0,'Données projet'!$E$14+1,1))-AVERAGE(OFFSET($H$3,0,0,'Données projet'!$E$14+1,1))</f>
        <v>431.19274104373625</v>
      </c>
      <c r="DU185" s="62">
        <f t="shared" si="152"/>
        <v>264.67919175178133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68.760812570401697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-6.2527760746888816E-13</v>
      </c>
      <c r="EK185" s="18">
        <f>EJ185*VLOOKUP('Données projet'!$B$15,Paramètres!$A$1:$I$89,3,0)*VLOOKUP('Données projet'!$B$15,Paramètres!$A$1:$I$89,5,0)</f>
        <v>-2.9262992029543964E-13</v>
      </c>
      <c r="EL185" s="14" t="e">
        <f t="shared" si="179"/>
        <v>#NUM!</v>
      </c>
      <c r="EM185" s="22" t="e">
        <f t="shared" si="180"/>
        <v>#NUM!</v>
      </c>
      <c r="EN185" s="62" t="e">
        <f t="shared" si="128"/>
        <v>#NUM!</v>
      </c>
      <c r="EO185" s="62">
        <f ca="1">AVERAGE(OFFSET($EN$3,0,0,'Données projet'!$E$15+1,1))-AVERAGE(OFFSET($H$3,0,0,'Données projet'!$E$15+1,1))</f>
        <v>291.68530745507815</v>
      </c>
      <c r="EP185" s="62">
        <f t="shared" si="154"/>
        <v>175.95121106728979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0</v>
      </c>
      <c r="EZ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68.760812570401697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-1.1368683772161603E-13</v>
      </c>
      <c r="FF185" s="18">
        <f>FE185*VLOOKUP('Données projet'!$B$16,Paramètres!$A$1:$I$89,3,0)*VLOOKUP('Données projet'!$B$16,Paramètres!$A$1:$I$89,5,0)</f>
        <v>-7.4487616075202823E-14</v>
      </c>
      <c r="FG185" s="14" t="e">
        <f t="shared" si="182"/>
        <v>#NUM!</v>
      </c>
      <c r="FH185" s="22" t="e">
        <f t="shared" si="183"/>
        <v>#NUM!</v>
      </c>
      <c r="FI185" s="62" t="e">
        <f t="shared" si="131"/>
        <v>#NUM!</v>
      </c>
      <c r="FJ185" s="62">
        <f ca="1">AVERAGE(OFFSET($FI$3,0,0,'Données projet'!$E$16+1,1))-AVERAGE(OFFSET($H$3,0,0,'Données projet'!$E$16+1,1))</f>
        <v>248.75689726928428</v>
      </c>
      <c r="FK185" s="62">
        <f t="shared" si="156"/>
        <v>232.02291680388336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projet'!$B$16,Paramètres!$A$1:$I$89,3,0)*0.475*44/12</f>
        <v>0</v>
      </c>
      <c r="FR185" s="23">
        <f>EXP(-LN(2)/25)*FR184+(1-EXP(-LN(2)/25))/(LN(2)/25)*Calculateur!FM185*Calculateur!FO185*VLOOKUP('Données projet'!$B$16,Paramètres!$A$1:$I$89,3,0)*0.475*44/12</f>
        <v>0</v>
      </c>
      <c r="FS185" s="23">
        <f>EXP(-LN(2)/2)*FS184+(1-EXP(-LN(2)/2))/(LN(2)/2)*FM185*FP185*VLOOKUP('Données projet'!$B$16,Paramètres!$A$1:$I$89,3,0)*0.475*44/12</f>
        <v>0</v>
      </c>
      <c r="FT185" s="24">
        <f t="shared" si="184"/>
        <v>0</v>
      </c>
      <c r="FU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68.760812570401697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5.1159076974727213E-13</v>
      </c>
      <c r="GA185" s="18">
        <f>FZ185*VLOOKUP('Données projet'!$B$17,Paramètres!$A$1:$I$89,3,0)*VLOOKUP('Données projet'!$B$17,Paramètres!$A$1:$I$89,5,0)</f>
        <v>3.0593128030886877E-13</v>
      </c>
      <c r="GB185" s="14">
        <f t="shared" si="185"/>
        <v>4.0350537939347394E-12</v>
      </c>
      <c r="GC185" s="22">
        <f t="shared" si="186"/>
        <v>7.5605490043076185E-12</v>
      </c>
      <c r="GD185" s="62">
        <f t="shared" si="134"/>
        <v>288.78964609148045</v>
      </c>
      <c r="GE185" s="62">
        <f ca="1">AVERAGE(OFFSET($GD$3,0,0,'Données projet'!$E$17+1,1))-AVERAGE(OFFSET($H$3,0,0,'Données projet'!$E$17+1,1))</f>
        <v>315.909549580511</v>
      </c>
      <c r="GF185" s="62">
        <f t="shared" si="158"/>
        <v>208.56856525402051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projet'!$B$17,Paramètres!$A$1:$I$89,3,0)*0.475*44/12</f>
        <v>0</v>
      </c>
      <c r="GM185" s="23">
        <f>EXP(-LN(2)/25)*GM184+(1-EXP(-LN(2)/25))/(LN(2)/25)*Calculateur!GH185*Calculateur!GJ185*VLOOKUP('Données projet'!$B$17,Paramètres!$A$1:$I$89,3,0)*0.475*44/12</f>
        <v>0</v>
      </c>
      <c r="GN185" s="23">
        <f>EXP(-LN(2)/2)*GN184+(1-EXP(-LN(2)/2))/(LN(2)/2)*GH185*GK185*VLOOKUP('Données projet'!$B$17,Paramètres!$A$1:$I$89,3,0)*0.475*44/12</f>
        <v>0</v>
      </c>
      <c r="GO185" s="23">
        <f t="shared" si="187"/>
        <v>0</v>
      </c>
      <c r="GP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68.760812570401697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1.1368683772161603E-13</v>
      </c>
      <c r="GV185" s="18">
        <f>GU185*VLOOKUP('Données projet'!$B$18,Paramètres!$A$1:$I$89,3,0)*VLOOKUP('Données projet'!$B$18,Paramètres!$A$1:$I$89,5,0)</f>
        <v>7.626113074366004E-14</v>
      </c>
      <c r="GW185" s="14">
        <f t="shared" si="188"/>
        <v>1.1823749172251317E-12</v>
      </c>
      <c r="GX185" s="22">
        <f t="shared" si="189"/>
        <v>2.1921244502123119E-12</v>
      </c>
      <c r="GY185" s="62">
        <f t="shared" si="137"/>
        <v>288.78964609147511</v>
      </c>
      <c r="GZ185" s="62">
        <f ca="1">AVERAGE(OFFSET($GY$3,0,0,'Données projet'!$E$18+1,1))-AVERAGE(OFFSET($H$3,0,0,'Données projet'!$E$18+1,1))</f>
        <v>254.35742752782755</v>
      </c>
      <c r="HA185" s="62">
        <f t="shared" si="160"/>
        <v>171.79611712137395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>
        <f>EXP(-LN(2)/35)*HG184+(1-EXP(-LN(2)/35))/(LN(2)/35)*HC185*HD185*VLOOKUP('Données projet'!$B$18,Paramètres!$A$1:$I$89,3,0)*0.475*44/12</f>
        <v>0</v>
      </c>
      <c r="HH185" s="23">
        <f>EXP(-LN(2)/25)*HH184+(1-EXP(-LN(2)/25))/(LN(2)/25)*Calculateur!HC185*Calculateur!HE185*VLOOKUP('Données projet'!$B$18,Paramètres!$A$1:$I$89,3,0)*0.475*44/12</f>
        <v>0</v>
      </c>
      <c r="HI185" s="23">
        <f>EXP(-LN(2)/2)*HI184+(1-EXP(-LN(2)/2))/(LN(2)/2)*HC185*HF185*VLOOKUP('Données projet'!$B$18,Paramètres!$A$1:$I$89,3,0)*0.475*44/12</f>
        <v>0</v>
      </c>
      <c r="HJ185" s="24">
        <f t="shared" si="190"/>
        <v>0</v>
      </c>
    </row>
    <row r="186" spans="1:218" x14ac:dyDescent="0.3">
      <c r="A186" s="11">
        <f t="shared" si="161"/>
        <v>183</v>
      </c>
      <c r="B186" s="76">
        <f>'Scénario référence'!$B$16*5+'Scénario référence'!$B$17*0+'Scénario référence'!$B$18*5</f>
        <v>3.9405000000000001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14.448500000000001</v>
      </c>
      <c r="H186" s="69">
        <f t="shared" si="110"/>
        <v>161.30656666666667</v>
      </c>
      <c r="I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68.782309701897177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210.54472399593521</v>
      </c>
      <c r="T186" s="62">
        <f t="shared" si="142"/>
        <v>181.14158435194193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68.782309701897177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289.05608923588198</v>
      </c>
      <c r="AO186" s="62">
        <f t="shared" si="144"/>
        <v>220.06639020312738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68.782309701897177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projet'!$B$11,Paramètres!$A$1:$I$89,3,0)*VLOOKUP('Données projet'!$B$11,Paramètres!$A$1:$I$89,5,0)</f>
        <v>0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299.54950406029354</v>
      </c>
      <c r="BJ186" s="62">
        <f t="shared" si="146"/>
        <v>208.26364698165739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68.782309701897177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>
        <f>BY186*VLOOKUP('Données projet'!$B$12,Paramètres!$A$1:$I$89,3,0)*VLOOKUP('Données projet'!$B$12,Paramètres!$A$1:$I$89,5,0)</f>
        <v>0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441.30518831297212</v>
      </c>
      <c r="CE186" s="62">
        <f t="shared" si="148"/>
        <v>270.42872405271851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68.782309701897177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-1.1368683772161603E-13</v>
      </c>
      <c r="CU186" s="18">
        <f>CT186*VLOOKUP('Données projet'!$B$13,Paramètres!$A$1:$I$89,3,0)*VLOOKUP('Données projet'!$B$13,Paramètres!$A$1:$I$89,5,0)</f>
        <v>-9.9316821433603781E-14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310.81258463659196</v>
      </c>
      <c r="CZ186" s="62">
        <f t="shared" si="150"/>
        <v>287.31099756692083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68.782309701897177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>
        <f>DO186*VLOOKUP('Données projet'!$B$14,Paramètres!$A$1:$I$89,3,0)*VLOOKUP('Données projet'!$B$14,Paramètres!$A$1:$I$89,5,0)</f>
        <v>0</v>
      </c>
      <c r="DQ186" s="14" t="e">
        <f t="shared" si="176"/>
        <v>#NUM!</v>
      </c>
      <c r="DR186" s="22" t="e">
        <f t="shared" si="177"/>
        <v>#NUM!</v>
      </c>
      <c r="DS186" s="62" t="e">
        <f t="shared" si="125"/>
        <v>#NUM!</v>
      </c>
      <c r="DT186" s="62">
        <f ca="1">AVERAGE(OFFSET($DS$3,0,0,'Données projet'!$E$14+1,1))-AVERAGE(OFFSET($H$3,0,0,'Données projet'!$E$14+1,1))</f>
        <v>431.19274104373625</v>
      </c>
      <c r="DU186" s="62">
        <f t="shared" si="152"/>
        <v>264.67919175178133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68.782309701897177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-6.2527760746888816E-13</v>
      </c>
      <c r="EK186" s="18">
        <f>EJ186*VLOOKUP('Données projet'!$B$15,Paramètres!$A$1:$I$89,3,0)*VLOOKUP('Données projet'!$B$15,Paramètres!$A$1:$I$89,5,0)</f>
        <v>-2.9262992029543964E-13</v>
      </c>
      <c r="EL186" s="14" t="e">
        <f t="shared" si="179"/>
        <v>#NUM!</v>
      </c>
      <c r="EM186" s="22" t="e">
        <f t="shared" si="180"/>
        <v>#NUM!</v>
      </c>
      <c r="EN186" s="62" t="e">
        <f t="shared" si="128"/>
        <v>#NUM!</v>
      </c>
      <c r="EO186" s="62">
        <f ca="1">AVERAGE(OFFSET($EN$3,0,0,'Données projet'!$E$15+1,1))-AVERAGE(OFFSET($H$3,0,0,'Données projet'!$E$15+1,1))</f>
        <v>291.68530745507815</v>
      </c>
      <c r="EP186" s="62">
        <f t="shared" si="154"/>
        <v>175.95121106728979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0</v>
      </c>
      <c r="EZ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68.782309701897177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-1.1368683772161603E-13</v>
      </c>
      <c r="FF186" s="18">
        <f>FE186*VLOOKUP('Données projet'!$B$16,Paramètres!$A$1:$I$89,3,0)*VLOOKUP('Données projet'!$B$16,Paramètres!$A$1:$I$89,5,0)</f>
        <v>-7.4487616075202823E-14</v>
      </c>
      <c r="FG186" s="14" t="e">
        <f t="shared" si="182"/>
        <v>#NUM!</v>
      </c>
      <c r="FH186" s="22" t="e">
        <f t="shared" si="183"/>
        <v>#NUM!</v>
      </c>
      <c r="FI186" s="62" t="e">
        <f t="shared" si="131"/>
        <v>#NUM!</v>
      </c>
      <c r="FJ186" s="62">
        <f ca="1">AVERAGE(OFFSET($FI$3,0,0,'Données projet'!$E$16+1,1))-AVERAGE(OFFSET($H$3,0,0,'Données projet'!$E$16+1,1))</f>
        <v>248.75689726928428</v>
      </c>
      <c r="FK186" s="62">
        <f t="shared" si="156"/>
        <v>232.02291680388336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projet'!$B$16,Paramètres!$A$1:$I$89,3,0)*0.475*44/12</f>
        <v>0</v>
      </c>
      <c r="FR186" s="23">
        <f>EXP(-LN(2)/25)*FR185+(1-EXP(-LN(2)/25))/(LN(2)/25)*Calculateur!FM186*Calculateur!FO186*VLOOKUP('Données projet'!$B$16,Paramètres!$A$1:$I$89,3,0)*0.475*44/12</f>
        <v>0</v>
      </c>
      <c r="FS186" s="23">
        <f>EXP(-LN(2)/2)*FS185+(1-EXP(-LN(2)/2))/(LN(2)/2)*FM186*FP186*VLOOKUP('Données projet'!$B$16,Paramètres!$A$1:$I$89,3,0)*0.475*44/12</f>
        <v>0</v>
      </c>
      <c r="FT186" s="24">
        <f t="shared" si="184"/>
        <v>0</v>
      </c>
      <c r="FU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68.782309701897177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5.1159076974727213E-13</v>
      </c>
      <c r="GA186" s="18">
        <f>FZ186*VLOOKUP('Données projet'!$B$17,Paramètres!$A$1:$I$89,3,0)*VLOOKUP('Données projet'!$B$17,Paramètres!$A$1:$I$89,5,0)</f>
        <v>3.0593128030886877E-13</v>
      </c>
      <c r="GB186" s="14">
        <f t="shared" si="185"/>
        <v>4.0350537939347394E-12</v>
      </c>
      <c r="GC186" s="22">
        <f t="shared" si="186"/>
        <v>7.5605490043076185E-12</v>
      </c>
      <c r="GD186" s="62">
        <f t="shared" si="134"/>
        <v>288.86846890696387</v>
      </c>
      <c r="GE186" s="62">
        <f ca="1">AVERAGE(OFFSET($GD$3,0,0,'Données projet'!$E$17+1,1))-AVERAGE(OFFSET($H$3,0,0,'Données projet'!$E$17+1,1))</f>
        <v>315.909549580511</v>
      </c>
      <c r="GF186" s="62">
        <f t="shared" si="158"/>
        <v>208.56856525402051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projet'!$B$17,Paramètres!$A$1:$I$89,3,0)*0.475*44/12</f>
        <v>0</v>
      </c>
      <c r="GM186" s="23">
        <f>EXP(-LN(2)/25)*GM185+(1-EXP(-LN(2)/25))/(LN(2)/25)*Calculateur!GH186*Calculateur!GJ186*VLOOKUP('Données projet'!$B$17,Paramètres!$A$1:$I$89,3,0)*0.475*44/12</f>
        <v>0</v>
      </c>
      <c r="GN186" s="23">
        <f>EXP(-LN(2)/2)*GN185+(1-EXP(-LN(2)/2))/(LN(2)/2)*GH186*GK186*VLOOKUP('Données projet'!$B$17,Paramètres!$A$1:$I$89,3,0)*0.475*44/12</f>
        <v>0</v>
      </c>
      <c r="GO186" s="23">
        <f t="shared" si="187"/>
        <v>0</v>
      </c>
      <c r="GP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68.782309701897177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1.1368683772161603E-13</v>
      </c>
      <c r="GV186" s="18">
        <f>GU186*VLOOKUP('Données projet'!$B$18,Paramètres!$A$1:$I$89,3,0)*VLOOKUP('Données projet'!$B$18,Paramètres!$A$1:$I$89,5,0)</f>
        <v>7.626113074366004E-14</v>
      </c>
      <c r="GW186" s="14">
        <f t="shared" si="188"/>
        <v>1.1823749172251317E-12</v>
      </c>
      <c r="GX186" s="22">
        <f t="shared" si="189"/>
        <v>2.1921244502123119E-12</v>
      </c>
      <c r="GY186" s="62">
        <f t="shared" si="137"/>
        <v>288.86846890695853</v>
      </c>
      <c r="GZ186" s="62">
        <f ca="1">AVERAGE(OFFSET($GY$3,0,0,'Données projet'!$E$18+1,1))-AVERAGE(OFFSET($H$3,0,0,'Données projet'!$E$18+1,1))</f>
        <v>254.35742752782755</v>
      </c>
      <c r="HA186" s="62">
        <f t="shared" si="160"/>
        <v>171.79611712137395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>
        <f>EXP(-LN(2)/35)*HG185+(1-EXP(-LN(2)/35))/(LN(2)/35)*HC186*HD186*VLOOKUP('Données projet'!$B$18,Paramètres!$A$1:$I$89,3,0)*0.475*44/12</f>
        <v>0</v>
      </c>
      <c r="HH186" s="23">
        <f>EXP(-LN(2)/25)*HH185+(1-EXP(-LN(2)/25))/(LN(2)/25)*Calculateur!HC186*Calculateur!HE186*VLOOKUP('Données projet'!$B$18,Paramètres!$A$1:$I$89,3,0)*0.475*44/12</f>
        <v>0</v>
      </c>
      <c r="HI186" s="23">
        <f>EXP(-LN(2)/2)*HI185+(1-EXP(-LN(2)/2))/(LN(2)/2)*HC186*HF186*VLOOKUP('Données projet'!$B$18,Paramètres!$A$1:$I$89,3,0)*0.475*44/12</f>
        <v>0</v>
      </c>
      <c r="HJ186" s="24">
        <f t="shared" si="190"/>
        <v>0</v>
      </c>
    </row>
    <row r="187" spans="1:218" x14ac:dyDescent="0.3">
      <c r="A187" s="11">
        <f t="shared" si="161"/>
        <v>184</v>
      </c>
      <c r="B187" s="76">
        <f>'Scénario référence'!$B$16*5+'Scénario référence'!$B$17*0+'Scénario référence'!$B$18*5</f>
        <v>3.9405000000000001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14.448500000000001</v>
      </c>
      <c r="H187" s="69">
        <f t="shared" si="110"/>
        <v>161.30656666666667</v>
      </c>
      <c r="I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68.803433906221585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210.54472399593521</v>
      </c>
      <c r="T187" s="62">
        <f t="shared" si="142"/>
        <v>181.14158435194193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68.803433906221585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289.05608923588198</v>
      </c>
      <c r="AO187" s="62">
        <f t="shared" si="144"/>
        <v>220.06639020312738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68.803433906221585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projet'!$B$11,Paramètres!$A$1:$I$89,3,0)*VLOOKUP('Données projet'!$B$11,Paramètres!$A$1:$I$89,5,0)</f>
        <v>0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299.54950406029354</v>
      </c>
      <c r="BJ187" s="62">
        <f t="shared" si="146"/>
        <v>208.26364698165739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68.803433906221585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>
        <f>BY187*VLOOKUP('Données projet'!$B$12,Paramètres!$A$1:$I$89,3,0)*VLOOKUP('Données projet'!$B$12,Paramètres!$A$1:$I$89,5,0)</f>
        <v>0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441.30518831297212</v>
      </c>
      <c r="CE187" s="62">
        <f t="shared" si="148"/>
        <v>270.42872405271851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68.803433906221585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-1.1368683772161603E-13</v>
      </c>
      <c r="CU187" s="18">
        <f>CT187*VLOOKUP('Données projet'!$B$13,Paramètres!$A$1:$I$89,3,0)*VLOOKUP('Données projet'!$B$13,Paramètres!$A$1:$I$89,5,0)</f>
        <v>-9.9316821433603781E-14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310.81258463659196</v>
      </c>
      <c r="CZ187" s="62">
        <f t="shared" si="150"/>
        <v>287.31099756692083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68.803433906221585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>
        <f>DO187*VLOOKUP('Données projet'!$B$14,Paramètres!$A$1:$I$89,3,0)*VLOOKUP('Données projet'!$B$14,Paramètres!$A$1:$I$89,5,0)</f>
        <v>0</v>
      </c>
      <c r="DQ187" s="14" t="e">
        <f t="shared" si="176"/>
        <v>#NUM!</v>
      </c>
      <c r="DR187" s="22" t="e">
        <f t="shared" si="177"/>
        <v>#NUM!</v>
      </c>
      <c r="DS187" s="62" t="e">
        <f t="shared" si="125"/>
        <v>#NUM!</v>
      </c>
      <c r="DT187" s="62">
        <f ca="1">AVERAGE(OFFSET($DS$3,0,0,'Données projet'!$E$14+1,1))-AVERAGE(OFFSET($H$3,0,0,'Données projet'!$E$14+1,1))</f>
        <v>431.19274104373625</v>
      </c>
      <c r="DU187" s="62">
        <f t="shared" si="152"/>
        <v>264.67919175178133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68.803433906221585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-6.2527760746888816E-13</v>
      </c>
      <c r="EK187" s="18">
        <f>EJ187*VLOOKUP('Données projet'!$B$15,Paramètres!$A$1:$I$89,3,0)*VLOOKUP('Données projet'!$B$15,Paramètres!$A$1:$I$89,5,0)</f>
        <v>-2.9262992029543964E-13</v>
      </c>
      <c r="EL187" s="14" t="e">
        <f t="shared" si="179"/>
        <v>#NUM!</v>
      </c>
      <c r="EM187" s="22" t="e">
        <f t="shared" si="180"/>
        <v>#NUM!</v>
      </c>
      <c r="EN187" s="62" t="e">
        <f t="shared" si="128"/>
        <v>#NUM!</v>
      </c>
      <c r="EO187" s="62">
        <f ca="1">AVERAGE(OFFSET($EN$3,0,0,'Données projet'!$E$15+1,1))-AVERAGE(OFFSET($H$3,0,0,'Données projet'!$E$15+1,1))</f>
        <v>291.68530745507815</v>
      </c>
      <c r="EP187" s="62">
        <f t="shared" si="154"/>
        <v>175.95121106728979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0</v>
      </c>
      <c r="EZ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68.803433906221585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-1.1368683772161603E-13</v>
      </c>
      <c r="FF187" s="18">
        <f>FE187*VLOOKUP('Données projet'!$B$16,Paramètres!$A$1:$I$89,3,0)*VLOOKUP('Données projet'!$B$16,Paramètres!$A$1:$I$89,5,0)</f>
        <v>-7.4487616075202823E-14</v>
      </c>
      <c r="FG187" s="14" t="e">
        <f t="shared" si="182"/>
        <v>#NUM!</v>
      </c>
      <c r="FH187" s="22" t="e">
        <f t="shared" si="183"/>
        <v>#NUM!</v>
      </c>
      <c r="FI187" s="62" t="e">
        <f t="shared" si="131"/>
        <v>#NUM!</v>
      </c>
      <c r="FJ187" s="62">
        <f ca="1">AVERAGE(OFFSET($FI$3,0,0,'Données projet'!$E$16+1,1))-AVERAGE(OFFSET($H$3,0,0,'Données projet'!$E$16+1,1))</f>
        <v>248.75689726928428</v>
      </c>
      <c r="FK187" s="62">
        <f t="shared" si="156"/>
        <v>232.02291680388336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projet'!$B$16,Paramètres!$A$1:$I$89,3,0)*0.475*44/12</f>
        <v>0</v>
      </c>
      <c r="FR187" s="23">
        <f>EXP(-LN(2)/25)*FR186+(1-EXP(-LN(2)/25))/(LN(2)/25)*Calculateur!FM187*Calculateur!FO187*VLOOKUP('Données projet'!$B$16,Paramètres!$A$1:$I$89,3,0)*0.475*44/12</f>
        <v>0</v>
      </c>
      <c r="FS187" s="23">
        <f>EXP(-LN(2)/2)*FS186+(1-EXP(-LN(2)/2))/(LN(2)/2)*FM187*FP187*VLOOKUP('Données projet'!$B$16,Paramètres!$A$1:$I$89,3,0)*0.475*44/12</f>
        <v>0</v>
      </c>
      <c r="FT187" s="24">
        <f t="shared" si="184"/>
        <v>0</v>
      </c>
      <c r="FU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68.803433906221585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5.1159076974727213E-13</v>
      </c>
      <c r="GA187" s="18">
        <f>FZ187*VLOOKUP('Données projet'!$B$17,Paramètres!$A$1:$I$89,3,0)*VLOOKUP('Données projet'!$B$17,Paramètres!$A$1:$I$89,5,0)</f>
        <v>3.0593128030886877E-13</v>
      </c>
      <c r="GB187" s="14">
        <f t="shared" si="185"/>
        <v>4.0350537939347394E-12</v>
      </c>
      <c r="GC187" s="22">
        <f t="shared" si="186"/>
        <v>7.5605490043076185E-12</v>
      </c>
      <c r="GD187" s="62">
        <f t="shared" si="134"/>
        <v>288.94592432282002</v>
      </c>
      <c r="GE187" s="62">
        <f ca="1">AVERAGE(OFFSET($GD$3,0,0,'Données projet'!$E$17+1,1))-AVERAGE(OFFSET($H$3,0,0,'Données projet'!$E$17+1,1))</f>
        <v>315.909549580511</v>
      </c>
      <c r="GF187" s="62">
        <f t="shared" si="158"/>
        <v>208.56856525402051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projet'!$B$17,Paramètres!$A$1:$I$89,3,0)*0.475*44/12</f>
        <v>0</v>
      </c>
      <c r="GM187" s="23">
        <f>EXP(-LN(2)/25)*GM186+(1-EXP(-LN(2)/25))/(LN(2)/25)*Calculateur!GH187*Calculateur!GJ187*VLOOKUP('Données projet'!$B$17,Paramètres!$A$1:$I$89,3,0)*0.475*44/12</f>
        <v>0</v>
      </c>
      <c r="GN187" s="23">
        <f>EXP(-LN(2)/2)*GN186+(1-EXP(-LN(2)/2))/(LN(2)/2)*GH187*GK187*VLOOKUP('Données projet'!$B$17,Paramètres!$A$1:$I$89,3,0)*0.475*44/12</f>
        <v>0</v>
      </c>
      <c r="GO187" s="23">
        <f t="shared" si="187"/>
        <v>0</v>
      </c>
      <c r="GP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68.803433906221585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1.1368683772161603E-13</v>
      </c>
      <c r="GV187" s="18">
        <f>GU187*VLOOKUP('Données projet'!$B$18,Paramètres!$A$1:$I$89,3,0)*VLOOKUP('Données projet'!$B$18,Paramètres!$A$1:$I$89,5,0)</f>
        <v>7.626113074366004E-14</v>
      </c>
      <c r="GW187" s="14">
        <f t="shared" si="188"/>
        <v>1.1823749172251317E-12</v>
      </c>
      <c r="GX187" s="22">
        <f t="shared" si="189"/>
        <v>2.1921244502123119E-12</v>
      </c>
      <c r="GY187" s="62">
        <f t="shared" si="137"/>
        <v>288.94592432281468</v>
      </c>
      <c r="GZ187" s="62">
        <f ca="1">AVERAGE(OFFSET($GY$3,0,0,'Données projet'!$E$18+1,1))-AVERAGE(OFFSET($H$3,0,0,'Données projet'!$E$18+1,1))</f>
        <v>254.35742752782755</v>
      </c>
      <c r="HA187" s="62">
        <f t="shared" si="160"/>
        <v>171.79611712137395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>
        <f>EXP(-LN(2)/35)*HG186+(1-EXP(-LN(2)/35))/(LN(2)/35)*HC187*HD187*VLOOKUP('Données projet'!$B$18,Paramètres!$A$1:$I$89,3,0)*0.475*44/12</f>
        <v>0</v>
      </c>
      <c r="HH187" s="23">
        <f>EXP(-LN(2)/25)*HH186+(1-EXP(-LN(2)/25))/(LN(2)/25)*Calculateur!HC187*Calculateur!HE187*VLOOKUP('Données projet'!$B$18,Paramètres!$A$1:$I$89,3,0)*0.475*44/12</f>
        <v>0</v>
      </c>
      <c r="HI187" s="23">
        <f>EXP(-LN(2)/2)*HI186+(1-EXP(-LN(2)/2))/(LN(2)/2)*HC187*HF187*VLOOKUP('Données projet'!$B$18,Paramètres!$A$1:$I$89,3,0)*0.475*44/12</f>
        <v>0</v>
      </c>
      <c r="HJ187" s="24">
        <f t="shared" si="190"/>
        <v>0</v>
      </c>
    </row>
    <row r="188" spans="1:218" x14ac:dyDescent="0.3">
      <c r="A188" s="11">
        <f t="shared" si="161"/>
        <v>185</v>
      </c>
      <c r="B188" s="76">
        <f>'Scénario référence'!$B$16*5+'Scénario référence'!$B$17*0+'Scénario référence'!$B$18*5</f>
        <v>3.9405000000000001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14.448500000000001</v>
      </c>
      <c r="H188" s="69">
        <f t="shared" si="110"/>
        <v>161.30656666666667</v>
      </c>
      <c r="I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68.824191652827622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210.54472399593521</v>
      </c>
      <c r="T188" s="62">
        <f t="shared" si="142"/>
        <v>181.14158435194193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68.824191652827622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289.05608923588198</v>
      </c>
      <c r="AO188" s="62">
        <f t="shared" si="144"/>
        <v>220.06639020312738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68.824191652827622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projet'!$B$11,Paramètres!$A$1:$I$89,3,0)*VLOOKUP('Données projet'!$B$11,Paramètres!$A$1:$I$89,5,0)</f>
        <v>0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299.54950406029354</v>
      </c>
      <c r="BJ188" s="62">
        <f t="shared" si="146"/>
        <v>208.26364698165739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68.824191652827622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>
        <f>BY188*VLOOKUP('Données projet'!$B$12,Paramètres!$A$1:$I$89,3,0)*VLOOKUP('Données projet'!$B$12,Paramètres!$A$1:$I$89,5,0)</f>
        <v>0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441.30518831297212</v>
      </c>
      <c r="CE188" s="62">
        <f t="shared" si="148"/>
        <v>270.42872405271851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68.824191652827622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-1.1368683772161603E-13</v>
      </c>
      <c r="CU188" s="18">
        <f>CT188*VLOOKUP('Données projet'!$B$13,Paramètres!$A$1:$I$89,3,0)*VLOOKUP('Données projet'!$B$13,Paramètres!$A$1:$I$89,5,0)</f>
        <v>-9.9316821433603781E-14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310.81258463659196</v>
      </c>
      <c r="CZ188" s="62">
        <f t="shared" si="150"/>
        <v>287.31099756692083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68.824191652827622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>
        <f>DO188*VLOOKUP('Données projet'!$B$14,Paramètres!$A$1:$I$89,3,0)*VLOOKUP('Données projet'!$B$14,Paramètres!$A$1:$I$89,5,0)</f>
        <v>0</v>
      </c>
      <c r="DQ188" s="14" t="e">
        <f t="shared" si="176"/>
        <v>#NUM!</v>
      </c>
      <c r="DR188" s="22" t="e">
        <f t="shared" si="177"/>
        <v>#NUM!</v>
      </c>
      <c r="DS188" s="62" t="e">
        <f t="shared" si="125"/>
        <v>#NUM!</v>
      </c>
      <c r="DT188" s="62">
        <f ca="1">AVERAGE(OFFSET($DS$3,0,0,'Données projet'!$E$14+1,1))-AVERAGE(OFFSET($H$3,0,0,'Données projet'!$E$14+1,1))</f>
        <v>431.19274104373625</v>
      </c>
      <c r="DU188" s="62">
        <f t="shared" si="152"/>
        <v>264.67919175178133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68.824191652827622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-6.2527760746888816E-13</v>
      </c>
      <c r="EK188" s="18">
        <f>EJ188*VLOOKUP('Données projet'!$B$15,Paramètres!$A$1:$I$89,3,0)*VLOOKUP('Données projet'!$B$15,Paramètres!$A$1:$I$89,5,0)</f>
        <v>-2.9262992029543964E-13</v>
      </c>
      <c r="EL188" s="14" t="e">
        <f t="shared" si="179"/>
        <v>#NUM!</v>
      </c>
      <c r="EM188" s="22" t="e">
        <f t="shared" si="180"/>
        <v>#NUM!</v>
      </c>
      <c r="EN188" s="62" t="e">
        <f t="shared" si="128"/>
        <v>#NUM!</v>
      </c>
      <c r="EO188" s="62">
        <f ca="1">AVERAGE(OFFSET($EN$3,0,0,'Données projet'!$E$15+1,1))-AVERAGE(OFFSET($H$3,0,0,'Données projet'!$E$15+1,1))</f>
        <v>291.68530745507815</v>
      </c>
      <c r="EP188" s="62">
        <f t="shared" si="154"/>
        <v>175.95121106728979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0</v>
      </c>
      <c r="EZ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68.824191652827622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-1.1368683772161603E-13</v>
      </c>
      <c r="FF188" s="18">
        <f>FE188*VLOOKUP('Données projet'!$B$16,Paramètres!$A$1:$I$89,3,0)*VLOOKUP('Données projet'!$B$16,Paramètres!$A$1:$I$89,5,0)</f>
        <v>-7.4487616075202823E-14</v>
      </c>
      <c r="FG188" s="14" t="e">
        <f t="shared" si="182"/>
        <v>#NUM!</v>
      </c>
      <c r="FH188" s="22" t="e">
        <f t="shared" si="183"/>
        <v>#NUM!</v>
      </c>
      <c r="FI188" s="62" t="e">
        <f t="shared" si="131"/>
        <v>#NUM!</v>
      </c>
      <c r="FJ188" s="62">
        <f ca="1">AVERAGE(OFFSET($FI$3,0,0,'Données projet'!$E$16+1,1))-AVERAGE(OFFSET($H$3,0,0,'Données projet'!$E$16+1,1))</f>
        <v>248.75689726928428</v>
      </c>
      <c r="FK188" s="62">
        <f t="shared" si="156"/>
        <v>232.02291680388336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projet'!$B$16,Paramètres!$A$1:$I$89,3,0)*0.475*44/12</f>
        <v>0</v>
      </c>
      <c r="FR188" s="23">
        <f>EXP(-LN(2)/25)*FR187+(1-EXP(-LN(2)/25))/(LN(2)/25)*Calculateur!FM188*Calculateur!FO188*VLOOKUP('Données projet'!$B$16,Paramètres!$A$1:$I$89,3,0)*0.475*44/12</f>
        <v>0</v>
      </c>
      <c r="FS188" s="23">
        <f>EXP(-LN(2)/2)*FS187+(1-EXP(-LN(2)/2))/(LN(2)/2)*FM188*FP188*VLOOKUP('Données projet'!$B$16,Paramètres!$A$1:$I$89,3,0)*0.475*44/12</f>
        <v>0</v>
      </c>
      <c r="FT188" s="24">
        <f t="shared" si="184"/>
        <v>0</v>
      </c>
      <c r="FU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68.824191652827622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5.1159076974727213E-13</v>
      </c>
      <c r="GA188" s="18">
        <f>FZ188*VLOOKUP('Données projet'!$B$17,Paramètres!$A$1:$I$89,3,0)*VLOOKUP('Données projet'!$B$17,Paramètres!$A$1:$I$89,5,0)</f>
        <v>3.0593128030886877E-13</v>
      </c>
      <c r="GB188" s="14">
        <f t="shared" si="185"/>
        <v>4.0350537939347394E-12</v>
      </c>
      <c r="GC188" s="22">
        <f t="shared" si="186"/>
        <v>7.5605490043076185E-12</v>
      </c>
      <c r="GD188" s="62">
        <f t="shared" si="134"/>
        <v>289.02203606037551</v>
      </c>
      <c r="GE188" s="62">
        <f ca="1">AVERAGE(OFFSET($GD$3,0,0,'Données projet'!$E$17+1,1))-AVERAGE(OFFSET($H$3,0,0,'Données projet'!$E$17+1,1))</f>
        <v>315.909549580511</v>
      </c>
      <c r="GF188" s="62">
        <f t="shared" si="158"/>
        <v>208.56856525402051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projet'!$B$17,Paramètres!$A$1:$I$89,3,0)*0.475*44/12</f>
        <v>0</v>
      </c>
      <c r="GM188" s="23">
        <f>EXP(-LN(2)/25)*GM187+(1-EXP(-LN(2)/25))/(LN(2)/25)*Calculateur!GH188*Calculateur!GJ188*VLOOKUP('Données projet'!$B$17,Paramètres!$A$1:$I$89,3,0)*0.475*44/12</f>
        <v>0</v>
      </c>
      <c r="GN188" s="23">
        <f>EXP(-LN(2)/2)*GN187+(1-EXP(-LN(2)/2))/(LN(2)/2)*GH188*GK188*VLOOKUP('Données projet'!$B$17,Paramètres!$A$1:$I$89,3,0)*0.475*44/12</f>
        <v>0</v>
      </c>
      <c r="GO188" s="23">
        <f t="shared" si="187"/>
        <v>0</v>
      </c>
      <c r="GP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68.824191652827622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1.1368683772161603E-13</v>
      </c>
      <c r="GV188" s="18">
        <f>GU188*VLOOKUP('Données projet'!$B$18,Paramètres!$A$1:$I$89,3,0)*VLOOKUP('Données projet'!$B$18,Paramètres!$A$1:$I$89,5,0)</f>
        <v>7.626113074366004E-14</v>
      </c>
      <c r="GW188" s="14">
        <f t="shared" si="188"/>
        <v>1.1823749172251317E-12</v>
      </c>
      <c r="GX188" s="22">
        <f t="shared" si="189"/>
        <v>2.1921244502123119E-12</v>
      </c>
      <c r="GY188" s="62">
        <f t="shared" si="137"/>
        <v>289.02203606037017</v>
      </c>
      <c r="GZ188" s="62">
        <f ca="1">AVERAGE(OFFSET($GY$3,0,0,'Données projet'!$E$18+1,1))-AVERAGE(OFFSET($H$3,0,0,'Données projet'!$E$18+1,1))</f>
        <v>254.35742752782755</v>
      </c>
      <c r="HA188" s="62">
        <f t="shared" si="160"/>
        <v>171.79611712137395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>
        <f>EXP(-LN(2)/35)*HG187+(1-EXP(-LN(2)/35))/(LN(2)/35)*HC188*HD188*VLOOKUP('Données projet'!$B$18,Paramètres!$A$1:$I$89,3,0)*0.475*44/12</f>
        <v>0</v>
      </c>
      <c r="HH188" s="23">
        <f>EXP(-LN(2)/25)*HH187+(1-EXP(-LN(2)/25))/(LN(2)/25)*Calculateur!HC188*Calculateur!HE188*VLOOKUP('Données projet'!$B$18,Paramètres!$A$1:$I$89,3,0)*0.475*44/12</f>
        <v>0</v>
      </c>
      <c r="HI188" s="23">
        <f>EXP(-LN(2)/2)*HI187+(1-EXP(-LN(2)/2))/(LN(2)/2)*HC188*HF188*VLOOKUP('Données projet'!$B$18,Paramètres!$A$1:$I$89,3,0)*0.475*44/12</f>
        <v>0</v>
      </c>
      <c r="HJ188" s="24">
        <f t="shared" si="190"/>
        <v>0</v>
      </c>
    </row>
    <row r="189" spans="1:218" x14ac:dyDescent="0.3">
      <c r="A189" s="11">
        <f t="shared" si="161"/>
        <v>186</v>
      </c>
      <c r="B189" s="76">
        <f>'Scénario référence'!$B$16*5+'Scénario référence'!$B$17*0+'Scénario référence'!$B$18*5</f>
        <v>3.9405000000000001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14.448500000000001</v>
      </c>
      <c r="H189" s="69">
        <f t="shared" si="110"/>
        <v>161.30656666666667</v>
      </c>
      <c r="I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68.844589298937407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210.54472399593521</v>
      </c>
      <c r="T189" s="62">
        <f t="shared" si="142"/>
        <v>181.14158435194193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68.844589298937407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289.05608923588198</v>
      </c>
      <c r="AO189" s="62">
        <f t="shared" si="144"/>
        <v>220.06639020312738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68.844589298937407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projet'!$B$11,Paramètres!$A$1:$I$89,3,0)*VLOOKUP('Données projet'!$B$11,Paramètres!$A$1:$I$89,5,0)</f>
        <v>0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299.54950406029354</v>
      </c>
      <c r="BJ189" s="62">
        <f t="shared" si="146"/>
        <v>208.26364698165739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68.844589298937407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>
        <f>BY189*VLOOKUP('Données projet'!$B$12,Paramètres!$A$1:$I$89,3,0)*VLOOKUP('Données projet'!$B$12,Paramètres!$A$1:$I$89,5,0)</f>
        <v>0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441.30518831297212</v>
      </c>
      <c r="CE189" s="62">
        <f t="shared" si="148"/>
        <v>270.42872405271851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68.844589298937407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-1.1368683772161603E-13</v>
      </c>
      <c r="CU189" s="18">
        <f>CT189*VLOOKUP('Données projet'!$B$13,Paramètres!$A$1:$I$89,3,0)*VLOOKUP('Données projet'!$B$13,Paramètres!$A$1:$I$89,5,0)</f>
        <v>-9.9316821433603781E-14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310.81258463659196</v>
      </c>
      <c r="CZ189" s="62">
        <f t="shared" si="150"/>
        <v>287.31099756692083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68.844589298937407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>
        <f>DO189*VLOOKUP('Données projet'!$B$14,Paramètres!$A$1:$I$89,3,0)*VLOOKUP('Données projet'!$B$14,Paramètres!$A$1:$I$89,5,0)</f>
        <v>0</v>
      </c>
      <c r="DQ189" s="14" t="e">
        <f t="shared" si="176"/>
        <v>#NUM!</v>
      </c>
      <c r="DR189" s="22" t="e">
        <f t="shared" si="177"/>
        <v>#NUM!</v>
      </c>
      <c r="DS189" s="62" t="e">
        <f t="shared" si="125"/>
        <v>#NUM!</v>
      </c>
      <c r="DT189" s="62">
        <f ca="1">AVERAGE(OFFSET($DS$3,0,0,'Données projet'!$E$14+1,1))-AVERAGE(OFFSET($H$3,0,0,'Données projet'!$E$14+1,1))</f>
        <v>431.19274104373625</v>
      </c>
      <c r="DU189" s="62">
        <f t="shared" si="152"/>
        <v>264.67919175178133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68.844589298937407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-6.2527760746888816E-13</v>
      </c>
      <c r="EK189" s="18">
        <f>EJ189*VLOOKUP('Données projet'!$B$15,Paramètres!$A$1:$I$89,3,0)*VLOOKUP('Données projet'!$B$15,Paramètres!$A$1:$I$89,5,0)</f>
        <v>-2.9262992029543964E-13</v>
      </c>
      <c r="EL189" s="14" t="e">
        <f t="shared" si="179"/>
        <v>#NUM!</v>
      </c>
      <c r="EM189" s="22" t="e">
        <f t="shared" si="180"/>
        <v>#NUM!</v>
      </c>
      <c r="EN189" s="62" t="e">
        <f t="shared" si="128"/>
        <v>#NUM!</v>
      </c>
      <c r="EO189" s="62">
        <f ca="1">AVERAGE(OFFSET($EN$3,0,0,'Données projet'!$E$15+1,1))-AVERAGE(OFFSET($H$3,0,0,'Données projet'!$E$15+1,1))</f>
        <v>291.68530745507815</v>
      </c>
      <c r="EP189" s="62">
        <f t="shared" si="154"/>
        <v>175.95121106728979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0</v>
      </c>
      <c r="EZ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68.844589298937407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-1.1368683772161603E-13</v>
      </c>
      <c r="FF189" s="18">
        <f>FE189*VLOOKUP('Données projet'!$B$16,Paramètres!$A$1:$I$89,3,0)*VLOOKUP('Données projet'!$B$16,Paramètres!$A$1:$I$89,5,0)</f>
        <v>-7.4487616075202823E-14</v>
      </c>
      <c r="FG189" s="14" t="e">
        <f t="shared" si="182"/>
        <v>#NUM!</v>
      </c>
      <c r="FH189" s="22" t="e">
        <f t="shared" si="183"/>
        <v>#NUM!</v>
      </c>
      <c r="FI189" s="62" t="e">
        <f t="shared" si="131"/>
        <v>#NUM!</v>
      </c>
      <c r="FJ189" s="62">
        <f ca="1">AVERAGE(OFFSET($FI$3,0,0,'Données projet'!$E$16+1,1))-AVERAGE(OFFSET($H$3,0,0,'Données projet'!$E$16+1,1))</f>
        <v>248.75689726928428</v>
      </c>
      <c r="FK189" s="62">
        <f t="shared" si="156"/>
        <v>232.02291680388336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projet'!$B$16,Paramètres!$A$1:$I$89,3,0)*0.475*44/12</f>
        <v>0</v>
      </c>
      <c r="FR189" s="23">
        <f>EXP(-LN(2)/25)*FR188+(1-EXP(-LN(2)/25))/(LN(2)/25)*Calculateur!FM189*Calculateur!FO189*VLOOKUP('Données projet'!$B$16,Paramètres!$A$1:$I$89,3,0)*0.475*44/12</f>
        <v>0</v>
      </c>
      <c r="FS189" s="23">
        <f>EXP(-LN(2)/2)*FS188+(1-EXP(-LN(2)/2))/(LN(2)/2)*FM189*FP189*VLOOKUP('Données projet'!$B$16,Paramètres!$A$1:$I$89,3,0)*0.475*44/12</f>
        <v>0</v>
      </c>
      <c r="FT189" s="24">
        <f t="shared" si="184"/>
        <v>0</v>
      </c>
      <c r="FU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68.844589298937407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5.1159076974727213E-13</v>
      </c>
      <c r="GA189" s="18">
        <f>FZ189*VLOOKUP('Données projet'!$B$17,Paramètres!$A$1:$I$89,3,0)*VLOOKUP('Données projet'!$B$17,Paramètres!$A$1:$I$89,5,0)</f>
        <v>3.0593128030886877E-13</v>
      </c>
      <c r="GB189" s="14">
        <f t="shared" si="185"/>
        <v>4.0350537939347394E-12</v>
      </c>
      <c r="GC189" s="22">
        <f t="shared" si="186"/>
        <v>7.5605490043076185E-12</v>
      </c>
      <c r="GD189" s="62">
        <f t="shared" si="134"/>
        <v>289.09682742944472</v>
      </c>
      <c r="GE189" s="62">
        <f ca="1">AVERAGE(OFFSET($GD$3,0,0,'Données projet'!$E$17+1,1))-AVERAGE(OFFSET($H$3,0,0,'Données projet'!$E$17+1,1))</f>
        <v>315.909549580511</v>
      </c>
      <c r="GF189" s="62">
        <f t="shared" si="158"/>
        <v>208.56856525402051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projet'!$B$17,Paramètres!$A$1:$I$89,3,0)*0.475*44/12</f>
        <v>0</v>
      </c>
      <c r="GM189" s="23">
        <f>EXP(-LN(2)/25)*GM188+(1-EXP(-LN(2)/25))/(LN(2)/25)*Calculateur!GH189*Calculateur!GJ189*VLOOKUP('Données projet'!$B$17,Paramètres!$A$1:$I$89,3,0)*0.475*44/12</f>
        <v>0</v>
      </c>
      <c r="GN189" s="23">
        <f>EXP(-LN(2)/2)*GN188+(1-EXP(-LN(2)/2))/(LN(2)/2)*GH189*GK189*VLOOKUP('Données projet'!$B$17,Paramètres!$A$1:$I$89,3,0)*0.475*44/12</f>
        <v>0</v>
      </c>
      <c r="GO189" s="23">
        <f t="shared" si="187"/>
        <v>0</v>
      </c>
      <c r="GP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68.844589298937407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1.1368683772161603E-13</v>
      </c>
      <c r="GV189" s="18">
        <f>GU189*VLOOKUP('Données projet'!$B$18,Paramètres!$A$1:$I$89,3,0)*VLOOKUP('Données projet'!$B$18,Paramètres!$A$1:$I$89,5,0)</f>
        <v>7.626113074366004E-14</v>
      </c>
      <c r="GW189" s="14">
        <f t="shared" si="188"/>
        <v>1.1823749172251317E-12</v>
      </c>
      <c r="GX189" s="22">
        <f t="shared" si="189"/>
        <v>2.1921244502123119E-12</v>
      </c>
      <c r="GY189" s="62">
        <f t="shared" si="137"/>
        <v>289.09682742943937</v>
      </c>
      <c r="GZ189" s="62">
        <f ca="1">AVERAGE(OFFSET($GY$3,0,0,'Données projet'!$E$18+1,1))-AVERAGE(OFFSET($H$3,0,0,'Données projet'!$E$18+1,1))</f>
        <v>254.35742752782755</v>
      </c>
      <c r="HA189" s="62">
        <f t="shared" si="160"/>
        <v>171.79611712137395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>
        <f>EXP(-LN(2)/35)*HG188+(1-EXP(-LN(2)/35))/(LN(2)/35)*HC189*HD189*VLOOKUP('Données projet'!$B$18,Paramètres!$A$1:$I$89,3,0)*0.475*44/12</f>
        <v>0</v>
      </c>
      <c r="HH189" s="23">
        <f>EXP(-LN(2)/25)*HH188+(1-EXP(-LN(2)/25))/(LN(2)/25)*Calculateur!HC189*Calculateur!HE189*VLOOKUP('Données projet'!$B$18,Paramètres!$A$1:$I$89,3,0)*0.475*44/12</f>
        <v>0</v>
      </c>
      <c r="HI189" s="23">
        <f>EXP(-LN(2)/2)*HI188+(1-EXP(-LN(2)/2))/(LN(2)/2)*HC189*HF189*VLOOKUP('Données projet'!$B$18,Paramètres!$A$1:$I$89,3,0)*0.475*44/12</f>
        <v>0</v>
      </c>
      <c r="HJ189" s="24">
        <f t="shared" si="190"/>
        <v>0</v>
      </c>
    </row>
    <row r="190" spans="1:218" x14ac:dyDescent="0.3">
      <c r="A190" s="11">
        <f t="shared" si="161"/>
        <v>187</v>
      </c>
      <c r="B190" s="76">
        <f>'Scénario référence'!$B$16*5+'Scénario référence'!$B$17*0+'Scénario référence'!$B$18*5</f>
        <v>3.9405000000000001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14.448500000000001</v>
      </c>
      <c r="H190" s="69">
        <f t="shared" si="110"/>
        <v>161.30656666666667</v>
      </c>
      <c r="I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68.864633091489509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210.54472399593521</v>
      </c>
      <c r="T190" s="62">
        <f t="shared" si="142"/>
        <v>181.14158435194193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68.864633091489509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289.05608923588198</v>
      </c>
      <c r="AO190" s="62">
        <f t="shared" si="144"/>
        <v>220.06639020312738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68.864633091489509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projet'!$B$11,Paramètres!$A$1:$I$89,3,0)*VLOOKUP('Données projet'!$B$11,Paramètres!$A$1:$I$89,5,0)</f>
        <v>0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299.54950406029354</v>
      </c>
      <c r="BJ190" s="62">
        <f t="shared" si="146"/>
        <v>208.26364698165739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68.864633091489509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>
        <f>BY190*VLOOKUP('Données projet'!$B$12,Paramètres!$A$1:$I$89,3,0)*VLOOKUP('Données projet'!$B$12,Paramètres!$A$1:$I$89,5,0)</f>
        <v>0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441.30518831297212</v>
      </c>
      <c r="CE190" s="62">
        <f t="shared" si="148"/>
        <v>270.42872405271851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68.864633091489509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-1.1368683772161603E-13</v>
      </c>
      <c r="CU190" s="18">
        <f>CT190*VLOOKUP('Données projet'!$B$13,Paramètres!$A$1:$I$89,3,0)*VLOOKUP('Données projet'!$B$13,Paramètres!$A$1:$I$89,5,0)</f>
        <v>-9.9316821433603781E-14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310.81258463659196</v>
      </c>
      <c r="CZ190" s="62">
        <f t="shared" si="150"/>
        <v>287.31099756692083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68.864633091489509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>
        <f>DO190*VLOOKUP('Données projet'!$B$14,Paramètres!$A$1:$I$89,3,0)*VLOOKUP('Données projet'!$B$14,Paramètres!$A$1:$I$89,5,0)</f>
        <v>0</v>
      </c>
      <c r="DQ190" s="14" t="e">
        <f t="shared" si="176"/>
        <v>#NUM!</v>
      </c>
      <c r="DR190" s="22" t="e">
        <f t="shared" si="177"/>
        <v>#NUM!</v>
      </c>
      <c r="DS190" s="62" t="e">
        <f t="shared" si="125"/>
        <v>#NUM!</v>
      </c>
      <c r="DT190" s="62">
        <f ca="1">AVERAGE(OFFSET($DS$3,0,0,'Données projet'!$E$14+1,1))-AVERAGE(OFFSET($H$3,0,0,'Données projet'!$E$14+1,1))</f>
        <v>431.19274104373625</v>
      </c>
      <c r="DU190" s="62">
        <f t="shared" si="152"/>
        <v>264.67919175178133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68.864633091489509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-6.2527760746888816E-13</v>
      </c>
      <c r="EK190" s="18">
        <f>EJ190*VLOOKUP('Données projet'!$B$15,Paramètres!$A$1:$I$89,3,0)*VLOOKUP('Données projet'!$B$15,Paramètres!$A$1:$I$89,5,0)</f>
        <v>-2.9262992029543964E-13</v>
      </c>
      <c r="EL190" s="14" t="e">
        <f t="shared" si="179"/>
        <v>#NUM!</v>
      </c>
      <c r="EM190" s="22" t="e">
        <f t="shared" si="180"/>
        <v>#NUM!</v>
      </c>
      <c r="EN190" s="62" t="e">
        <f t="shared" si="128"/>
        <v>#NUM!</v>
      </c>
      <c r="EO190" s="62">
        <f ca="1">AVERAGE(OFFSET($EN$3,0,0,'Données projet'!$E$15+1,1))-AVERAGE(OFFSET($H$3,0,0,'Données projet'!$E$15+1,1))</f>
        <v>291.68530745507815</v>
      </c>
      <c r="EP190" s="62">
        <f t="shared" si="154"/>
        <v>175.95121106728979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0</v>
      </c>
      <c r="EZ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68.864633091489509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-1.1368683772161603E-13</v>
      </c>
      <c r="FF190" s="18">
        <f>FE190*VLOOKUP('Données projet'!$B$16,Paramètres!$A$1:$I$89,3,0)*VLOOKUP('Données projet'!$B$16,Paramètres!$A$1:$I$89,5,0)</f>
        <v>-7.4487616075202823E-14</v>
      </c>
      <c r="FG190" s="14" t="e">
        <f t="shared" si="182"/>
        <v>#NUM!</v>
      </c>
      <c r="FH190" s="22" t="e">
        <f t="shared" si="183"/>
        <v>#NUM!</v>
      </c>
      <c r="FI190" s="62" t="e">
        <f t="shared" si="131"/>
        <v>#NUM!</v>
      </c>
      <c r="FJ190" s="62">
        <f ca="1">AVERAGE(OFFSET($FI$3,0,0,'Données projet'!$E$16+1,1))-AVERAGE(OFFSET($H$3,0,0,'Données projet'!$E$16+1,1))</f>
        <v>248.75689726928428</v>
      </c>
      <c r="FK190" s="62">
        <f t="shared" si="156"/>
        <v>232.02291680388336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projet'!$B$16,Paramètres!$A$1:$I$89,3,0)*0.475*44/12</f>
        <v>0</v>
      </c>
      <c r="FR190" s="23">
        <f>EXP(-LN(2)/25)*FR189+(1-EXP(-LN(2)/25))/(LN(2)/25)*Calculateur!FM190*Calculateur!FO190*VLOOKUP('Données projet'!$B$16,Paramètres!$A$1:$I$89,3,0)*0.475*44/12</f>
        <v>0</v>
      </c>
      <c r="FS190" s="23">
        <f>EXP(-LN(2)/2)*FS189+(1-EXP(-LN(2)/2))/(LN(2)/2)*FM190*FP190*VLOOKUP('Données projet'!$B$16,Paramètres!$A$1:$I$89,3,0)*0.475*44/12</f>
        <v>0</v>
      </c>
      <c r="FT190" s="24">
        <f t="shared" si="184"/>
        <v>0</v>
      </c>
      <c r="FU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68.864633091489509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5.1159076974727213E-13</v>
      </c>
      <c r="GA190" s="18">
        <f>FZ190*VLOOKUP('Données projet'!$B$17,Paramètres!$A$1:$I$89,3,0)*VLOOKUP('Données projet'!$B$17,Paramètres!$A$1:$I$89,5,0)</f>
        <v>3.0593128030886877E-13</v>
      </c>
      <c r="GB190" s="14">
        <f t="shared" si="185"/>
        <v>4.0350537939347394E-12</v>
      </c>
      <c r="GC190" s="22">
        <f t="shared" si="186"/>
        <v>7.5605490043076185E-12</v>
      </c>
      <c r="GD190" s="62">
        <f t="shared" si="134"/>
        <v>289.17032133546911</v>
      </c>
      <c r="GE190" s="62">
        <f ca="1">AVERAGE(OFFSET($GD$3,0,0,'Données projet'!$E$17+1,1))-AVERAGE(OFFSET($H$3,0,0,'Données projet'!$E$17+1,1))</f>
        <v>315.909549580511</v>
      </c>
      <c r="GF190" s="62">
        <f t="shared" si="158"/>
        <v>208.56856525402051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projet'!$B$17,Paramètres!$A$1:$I$89,3,0)*0.475*44/12</f>
        <v>0</v>
      </c>
      <c r="GM190" s="23">
        <f>EXP(-LN(2)/25)*GM189+(1-EXP(-LN(2)/25))/(LN(2)/25)*Calculateur!GH190*Calculateur!GJ190*VLOOKUP('Données projet'!$B$17,Paramètres!$A$1:$I$89,3,0)*0.475*44/12</f>
        <v>0</v>
      </c>
      <c r="GN190" s="23">
        <f>EXP(-LN(2)/2)*GN189+(1-EXP(-LN(2)/2))/(LN(2)/2)*GH190*GK190*VLOOKUP('Données projet'!$B$17,Paramètres!$A$1:$I$89,3,0)*0.475*44/12</f>
        <v>0</v>
      </c>
      <c r="GO190" s="23">
        <f t="shared" si="187"/>
        <v>0</v>
      </c>
      <c r="GP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68.864633091489509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1.1368683772161603E-13</v>
      </c>
      <c r="GV190" s="18">
        <f>GU190*VLOOKUP('Données projet'!$B$18,Paramètres!$A$1:$I$89,3,0)*VLOOKUP('Données projet'!$B$18,Paramètres!$A$1:$I$89,5,0)</f>
        <v>7.626113074366004E-14</v>
      </c>
      <c r="GW190" s="14">
        <f t="shared" si="188"/>
        <v>1.1823749172251317E-12</v>
      </c>
      <c r="GX190" s="22">
        <f t="shared" si="189"/>
        <v>2.1921244502123119E-12</v>
      </c>
      <c r="GY190" s="62">
        <f t="shared" si="137"/>
        <v>289.17032133546377</v>
      </c>
      <c r="GZ190" s="62">
        <f ca="1">AVERAGE(OFFSET($GY$3,0,0,'Données projet'!$E$18+1,1))-AVERAGE(OFFSET($H$3,0,0,'Données projet'!$E$18+1,1))</f>
        <v>254.35742752782755</v>
      </c>
      <c r="HA190" s="62">
        <f t="shared" si="160"/>
        <v>171.79611712137395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>
        <f>EXP(-LN(2)/35)*HG189+(1-EXP(-LN(2)/35))/(LN(2)/35)*HC190*HD190*VLOOKUP('Données projet'!$B$18,Paramètres!$A$1:$I$89,3,0)*0.475*44/12</f>
        <v>0</v>
      </c>
      <c r="HH190" s="23">
        <f>EXP(-LN(2)/25)*HH189+(1-EXP(-LN(2)/25))/(LN(2)/25)*Calculateur!HC190*Calculateur!HE190*VLOOKUP('Données projet'!$B$18,Paramètres!$A$1:$I$89,3,0)*0.475*44/12</f>
        <v>0</v>
      </c>
      <c r="HI190" s="23">
        <f>EXP(-LN(2)/2)*HI189+(1-EXP(-LN(2)/2))/(LN(2)/2)*HC190*HF190*VLOOKUP('Données projet'!$B$18,Paramètres!$A$1:$I$89,3,0)*0.475*44/12</f>
        <v>0</v>
      </c>
      <c r="HJ190" s="24">
        <f t="shared" si="190"/>
        <v>0</v>
      </c>
    </row>
    <row r="191" spans="1:218" x14ac:dyDescent="0.3">
      <c r="A191" s="11">
        <f t="shared" si="161"/>
        <v>188</v>
      </c>
      <c r="B191" s="76">
        <f>'Scénario référence'!$B$16*5+'Scénario référence'!$B$17*0+'Scénario référence'!$B$18*5</f>
        <v>3.9405000000000001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14.448500000000001</v>
      </c>
      <c r="H191" s="69">
        <f t="shared" si="110"/>
        <v>161.30656666666667</v>
      </c>
      <c r="I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68.884329169052009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210.54472399593521</v>
      </c>
      <c r="T191" s="62">
        <f t="shared" si="142"/>
        <v>181.14158435194193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68.884329169052009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289.05608923588198</v>
      </c>
      <c r="AO191" s="62">
        <f t="shared" si="144"/>
        <v>220.06639020312738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68.884329169052009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projet'!$B$11,Paramètres!$A$1:$I$89,3,0)*VLOOKUP('Données projet'!$B$11,Paramètres!$A$1:$I$89,5,0)</f>
        <v>0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299.54950406029354</v>
      </c>
      <c r="BJ191" s="62">
        <f t="shared" si="146"/>
        <v>208.26364698165739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68.884329169052009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>
        <f>BY191*VLOOKUP('Données projet'!$B$12,Paramètres!$A$1:$I$89,3,0)*VLOOKUP('Données projet'!$B$12,Paramètres!$A$1:$I$89,5,0)</f>
        <v>0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441.30518831297212</v>
      </c>
      <c r="CE191" s="62">
        <f t="shared" si="148"/>
        <v>270.42872405271851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68.884329169052009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-1.1368683772161603E-13</v>
      </c>
      <c r="CU191" s="18">
        <f>CT191*VLOOKUP('Données projet'!$B$13,Paramètres!$A$1:$I$89,3,0)*VLOOKUP('Données projet'!$B$13,Paramètres!$A$1:$I$89,5,0)</f>
        <v>-9.9316821433603781E-14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310.81258463659196</v>
      </c>
      <c r="CZ191" s="62">
        <f t="shared" si="150"/>
        <v>287.31099756692083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68.884329169052009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>
        <f>DO191*VLOOKUP('Données projet'!$B$14,Paramètres!$A$1:$I$89,3,0)*VLOOKUP('Données projet'!$B$14,Paramètres!$A$1:$I$89,5,0)</f>
        <v>0</v>
      </c>
      <c r="DQ191" s="14" t="e">
        <f t="shared" si="176"/>
        <v>#NUM!</v>
      </c>
      <c r="DR191" s="22" t="e">
        <f t="shared" si="177"/>
        <v>#NUM!</v>
      </c>
      <c r="DS191" s="62" t="e">
        <f t="shared" si="125"/>
        <v>#NUM!</v>
      </c>
      <c r="DT191" s="62">
        <f ca="1">AVERAGE(OFFSET($DS$3,0,0,'Données projet'!$E$14+1,1))-AVERAGE(OFFSET($H$3,0,0,'Données projet'!$E$14+1,1))</f>
        <v>431.19274104373625</v>
      </c>
      <c r="DU191" s="62">
        <f t="shared" si="152"/>
        <v>264.67919175178133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68.884329169052009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-6.2527760746888816E-13</v>
      </c>
      <c r="EK191" s="18">
        <f>EJ191*VLOOKUP('Données projet'!$B$15,Paramètres!$A$1:$I$89,3,0)*VLOOKUP('Données projet'!$B$15,Paramètres!$A$1:$I$89,5,0)</f>
        <v>-2.9262992029543964E-13</v>
      </c>
      <c r="EL191" s="14" t="e">
        <f t="shared" si="179"/>
        <v>#NUM!</v>
      </c>
      <c r="EM191" s="22" t="e">
        <f t="shared" si="180"/>
        <v>#NUM!</v>
      </c>
      <c r="EN191" s="62" t="e">
        <f t="shared" si="128"/>
        <v>#NUM!</v>
      </c>
      <c r="EO191" s="62">
        <f ca="1">AVERAGE(OFFSET($EN$3,0,0,'Données projet'!$E$15+1,1))-AVERAGE(OFFSET($H$3,0,0,'Données projet'!$E$15+1,1))</f>
        <v>291.68530745507815</v>
      </c>
      <c r="EP191" s="62">
        <f t="shared" si="154"/>
        <v>175.95121106728979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0</v>
      </c>
      <c r="EZ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68.884329169052009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-1.1368683772161603E-13</v>
      </c>
      <c r="FF191" s="18">
        <f>FE191*VLOOKUP('Données projet'!$B$16,Paramètres!$A$1:$I$89,3,0)*VLOOKUP('Données projet'!$B$16,Paramètres!$A$1:$I$89,5,0)</f>
        <v>-7.4487616075202823E-14</v>
      </c>
      <c r="FG191" s="14" t="e">
        <f t="shared" si="182"/>
        <v>#NUM!</v>
      </c>
      <c r="FH191" s="22" t="e">
        <f t="shared" si="183"/>
        <v>#NUM!</v>
      </c>
      <c r="FI191" s="62" t="e">
        <f t="shared" si="131"/>
        <v>#NUM!</v>
      </c>
      <c r="FJ191" s="62">
        <f ca="1">AVERAGE(OFFSET($FI$3,0,0,'Données projet'!$E$16+1,1))-AVERAGE(OFFSET($H$3,0,0,'Données projet'!$E$16+1,1))</f>
        <v>248.75689726928428</v>
      </c>
      <c r="FK191" s="62">
        <f t="shared" si="156"/>
        <v>232.02291680388336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projet'!$B$16,Paramètres!$A$1:$I$89,3,0)*0.475*44/12</f>
        <v>0</v>
      </c>
      <c r="FR191" s="23">
        <f>EXP(-LN(2)/25)*FR190+(1-EXP(-LN(2)/25))/(LN(2)/25)*Calculateur!FM191*Calculateur!FO191*VLOOKUP('Données projet'!$B$16,Paramètres!$A$1:$I$89,3,0)*0.475*44/12</f>
        <v>0</v>
      </c>
      <c r="FS191" s="23">
        <f>EXP(-LN(2)/2)*FS190+(1-EXP(-LN(2)/2))/(LN(2)/2)*FM191*FP191*VLOOKUP('Données projet'!$B$16,Paramètres!$A$1:$I$89,3,0)*0.475*44/12</f>
        <v>0</v>
      </c>
      <c r="FT191" s="24">
        <f t="shared" si="184"/>
        <v>0</v>
      </c>
      <c r="FU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68.884329169052009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5.1159076974727213E-13</v>
      </c>
      <c r="GA191" s="18">
        <f>FZ191*VLOOKUP('Données projet'!$B$17,Paramètres!$A$1:$I$89,3,0)*VLOOKUP('Données projet'!$B$17,Paramètres!$A$1:$I$89,5,0)</f>
        <v>3.0593128030886877E-13</v>
      </c>
      <c r="GB191" s="14">
        <f t="shared" si="185"/>
        <v>4.0350537939347394E-12</v>
      </c>
      <c r="GC191" s="22">
        <f t="shared" si="186"/>
        <v>7.5605490043076185E-12</v>
      </c>
      <c r="GD191" s="62">
        <f t="shared" si="134"/>
        <v>289.24254028653161</v>
      </c>
      <c r="GE191" s="62">
        <f ca="1">AVERAGE(OFFSET($GD$3,0,0,'Données projet'!$E$17+1,1))-AVERAGE(OFFSET($H$3,0,0,'Données projet'!$E$17+1,1))</f>
        <v>315.909549580511</v>
      </c>
      <c r="GF191" s="62">
        <f t="shared" si="158"/>
        <v>208.56856525402051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projet'!$B$17,Paramètres!$A$1:$I$89,3,0)*0.475*44/12</f>
        <v>0</v>
      </c>
      <c r="GM191" s="23">
        <f>EXP(-LN(2)/25)*GM190+(1-EXP(-LN(2)/25))/(LN(2)/25)*Calculateur!GH191*Calculateur!GJ191*VLOOKUP('Données projet'!$B$17,Paramètres!$A$1:$I$89,3,0)*0.475*44/12</f>
        <v>0</v>
      </c>
      <c r="GN191" s="23">
        <f>EXP(-LN(2)/2)*GN190+(1-EXP(-LN(2)/2))/(LN(2)/2)*GH191*GK191*VLOOKUP('Données projet'!$B$17,Paramètres!$A$1:$I$89,3,0)*0.475*44/12</f>
        <v>0</v>
      </c>
      <c r="GO191" s="23">
        <f t="shared" si="187"/>
        <v>0</v>
      </c>
      <c r="GP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68.884329169052009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1.1368683772161603E-13</v>
      </c>
      <c r="GV191" s="18">
        <f>GU191*VLOOKUP('Données projet'!$B$18,Paramètres!$A$1:$I$89,3,0)*VLOOKUP('Données projet'!$B$18,Paramètres!$A$1:$I$89,5,0)</f>
        <v>7.626113074366004E-14</v>
      </c>
      <c r="GW191" s="14">
        <f t="shared" si="188"/>
        <v>1.1823749172251317E-12</v>
      </c>
      <c r="GX191" s="22">
        <f t="shared" si="189"/>
        <v>2.1921244502123119E-12</v>
      </c>
      <c r="GY191" s="62">
        <f t="shared" si="137"/>
        <v>289.24254028652626</v>
      </c>
      <c r="GZ191" s="62">
        <f ca="1">AVERAGE(OFFSET($GY$3,0,0,'Données projet'!$E$18+1,1))-AVERAGE(OFFSET($H$3,0,0,'Données projet'!$E$18+1,1))</f>
        <v>254.35742752782755</v>
      </c>
      <c r="HA191" s="62">
        <f t="shared" si="160"/>
        <v>171.79611712137395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>
        <f>EXP(-LN(2)/35)*HG190+(1-EXP(-LN(2)/35))/(LN(2)/35)*HC191*HD191*VLOOKUP('Données projet'!$B$18,Paramètres!$A$1:$I$89,3,0)*0.475*44/12</f>
        <v>0</v>
      </c>
      <c r="HH191" s="23">
        <f>EXP(-LN(2)/25)*HH190+(1-EXP(-LN(2)/25))/(LN(2)/25)*Calculateur!HC191*Calculateur!HE191*VLOOKUP('Données projet'!$B$18,Paramètres!$A$1:$I$89,3,0)*0.475*44/12</f>
        <v>0</v>
      </c>
      <c r="HI191" s="23">
        <f>EXP(-LN(2)/2)*HI190+(1-EXP(-LN(2)/2))/(LN(2)/2)*HC191*HF191*VLOOKUP('Données projet'!$B$18,Paramètres!$A$1:$I$89,3,0)*0.475*44/12</f>
        <v>0</v>
      </c>
      <c r="HJ191" s="24">
        <f t="shared" si="190"/>
        <v>0</v>
      </c>
    </row>
    <row r="192" spans="1:218" x14ac:dyDescent="0.3">
      <c r="A192" s="11">
        <f t="shared" si="161"/>
        <v>189</v>
      </c>
      <c r="B192" s="76">
        <f>'Scénario référence'!$B$16*5+'Scénario référence'!$B$17*0+'Scénario référence'!$B$18*5</f>
        <v>3.9405000000000001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14.448500000000001</v>
      </c>
      <c r="H192" s="69">
        <f t="shared" si="110"/>
        <v>161.30656666666667</v>
      </c>
      <c r="I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68.903683563702643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210.54472399593521</v>
      </c>
      <c r="T192" s="62">
        <f t="shared" si="142"/>
        <v>181.14158435194193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68.903683563702643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289.05608923588198</v>
      </c>
      <c r="AO192" s="62">
        <f t="shared" si="144"/>
        <v>220.06639020312738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68.903683563702643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projet'!$B$11,Paramètres!$A$1:$I$89,3,0)*VLOOKUP('Données projet'!$B$11,Paramètres!$A$1:$I$89,5,0)</f>
        <v>0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299.54950406029354</v>
      </c>
      <c r="BJ192" s="62">
        <f t="shared" si="146"/>
        <v>208.26364698165739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68.903683563702643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>
        <f>BY192*VLOOKUP('Données projet'!$B$12,Paramètres!$A$1:$I$89,3,0)*VLOOKUP('Données projet'!$B$12,Paramètres!$A$1:$I$89,5,0)</f>
        <v>0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441.30518831297212</v>
      </c>
      <c r="CE192" s="62">
        <f t="shared" si="148"/>
        <v>270.42872405271851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68.903683563702643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-1.1368683772161603E-13</v>
      </c>
      <c r="CU192" s="18">
        <f>CT192*VLOOKUP('Données projet'!$B$13,Paramètres!$A$1:$I$89,3,0)*VLOOKUP('Données projet'!$B$13,Paramètres!$A$1:$I$89,5,0)</f>
        <v>-9.9316821433603781E-14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310.81258463659196</v>
      </c>
      <c r="CZ192" s="62">
        <f t="shared" si="150"/>
        <v>287.31099756692083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68.903683563702643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>
        <f>DO192*VLOOKUP('Données projet'!$B$14,Paramètres!$A$1:$I$89,3,0)*VLOOKUP('Données projet'!$B$14,Paramètres!$A$1:$I$89,5,0)</f>
        <v>0</v>
      </c>
      <c r="DQ192" s="14" t="e">
        <f t="shared" si="176"/>
        <v>#NUM!</v>
      </c>
      <c r="DR192" s="22" t="e">
        <f t="shared" si="177"/>
        <v>#NUM!</v>
      </c>
      <c r="DS192" s="62" t="e">
        <f t="shared" si="125"/>
        <v>#NUM!</v>
      </c>
      <c r="DT192" s="62">
        <f ca="1">AVERAGE(OFFSET($DS$3,0,0,'Données projet'!$E$14+1,1))-AVERAGE(OFFSET($H$3,0,0,'Données projet'!$E$14+1,1))</f>
        <v>431.19274104373625</v>
      </c>
      <c r="DU192" s="62">
        <f t="shared" si="152"/>
        <v>264.67919175178133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68.903683563702643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-6.2527760746888816E-13</v>
      </c>
      <c r="EK192" s="18">
        <f>EJ192*VLOOKUP('Données projet'!$B$15,Paramètres!$A$1:$I$89,3,0)*VLOOKUP('Données projet'!$B$15,Paramètres!$A$1:$I$89,5,0)</f>
        <v>-2.9262992029543964E-13</v>
      </c>
      <c r="EL192" s="14" t="e">
        <f t="shared" si="179"/>
        <v>#NUM!</v>
      </c>
      <c r="EM192" s="22" t="e">
        <f t="shared" si="180"/>
        <v>#NUM!</v>
      </c>
      <c r="EN192" s="62" t="e">
        <f t="shared" si="128"/>
        <v>#NUM!</v>
      </c>
      <c r="EO192" s="62">
        <f ca="1">AVERAGE(OFFSET($EN$3,0,0,'Données projet'!$E$15+1,1))-AVERAGE(OFFSET($H$3,0,0,'Données projet'!$E$15+1,1))</f>
        <v>291.68530745507815</v>
      </c>
      <c r="EP192" s="62">
        <f t="shared" si="154"/>
        <v>175.95121106728979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0</v>
      </c>
      <c r="EZ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68.903683563702643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-1.1368683772161603E-13</v>
      </c>
      <c r="FF192" s="18">
        <f>FE192*VLOOKUP('Données projet'!$B$16,Paramètres!$A$1:$I$89,3,0)*VLOOKUP('Données projet'!$B$16,Paramètres!$A$1:$I$89,5,0)</f>
        <v>-7.4487616075202823E-14</v>
      </c>
      <c r="FG192" s="14" t="e">
        <f t="shared" si="182"/>
        <v>#NUM!</v>
      </c>
      <c r="FH192" s="22" t="e">
        <f t="shared" si="183"/>
        <v>#NUM!</v>
      </c>
      <c r="FI192" s="62" t="e">
        <f t="shared" si="131"/>
        <v>#NUM!</v>
      </c>
      <c r="FJ192" s="62">
        <f ca="1">AVERAGE(OFFSET($FI$3,0,0,'Données projet'!$E$16+1,1))-AVERAGE(OFFSET($H$3,0,0,'Données projet'!$E$16+1,1))</f>
        <v>248.75689726928428</v>
      </c>
      <c r="FK192" s="62">
        <f t="shared" si="156"/>
        <v>232.02291680388336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projet'!$B$16,Paramètres!$A$1:$I$89,3,0)*0.475*44/12</f>
        <v>0</v>
      </c>
      <c r="FR192" s="23">
        <f>EXP(-LN(2)/25)*FR191+(1-EXP(-LN(2)/25))/(LN(2)/25)*Calculateur!FM192*Calculateur!FO192*VLOOKUP('Données projet'!$B$16,Paramètres!$A$1:$I$89,3,0)*0.475*44/12</f>
        <v>0</v>
      </c>
      <c r="FS192" s="23">
        <f>EXP(-LN(2)/2)*FS191+(1-EXP(-LN(2)/2))/(LN(2)/2)*FM192*FP192*VLOOKUP('Données projet'!$B$16,Paramètres!$A$1:$I$89,3,0)*0.475*44/12</f>
        <v>0</v>
      </c>
      <c r="FT192" s="24">
        <f t="shared" si="184"/>
        <v>0</v>
      </c>
      <c r="FU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68.903683563702643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5.1159076974727213E-13</v>
      </c>
      <c r="GA192" s="18">
        <f>FZ192*VLOOKUP('Données projet'!$B$17,Paramètres!$A$1:$I$89,3,0)*VLOOKUP('Données projet'!$B$17,Paramètres!$A$1:$I$89,5,0)</f>
        <v>3.0593128030886877E-13</v>
      </c>
      <c r="GB192" s="14">
        <f t="shared" si="185"/>
        <v>4.0350537939347394E-12</v>
      </c>
      <c r="GC192" s="22">
        <f t="shared" si="186"/>
        <v>7.5605490043076185E-12</v>
      </c>
      <c r="GD192" s="62">
        <f t="shared" si="134"/>
        <v>289.31350640025062</v>
      </c>
      <c r="GE192" s="62">
        <f ca="1">AVERAGE(OFFSET($GD$3,0,0,'Données projet'!$E$17+1,1))-AVERAGE(OFFSET($H$3,0,0,'Données projet'!$E$17+1,1))</f>
        <v>315.909549580511</v>
      </c>
      <c r="GF192" s="62">
        <f t="shared" si="158"/>
        <v>208.56856525402051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projet'!$B$17,Paramètres!$A$1:$I$89,3,0)*0.475*44/12</f>
        <v>0</v>
      </c>
      <c r="GM192" s="23">
        <f>EXP(-LN(2)/25)*GM191+(1-EXP(-LN(2)/25))/(LN(2)/25)*Calculateur!GH192*Calculateur!GJ192*VLOOKUP('Données projet'!$B$17,Paramètres!$A$1:$I$89,3,0)*0.475*44/12</f>
        <v>0</v>
      </c>
      <c r="GN192" s="23">
        <f>EXP(-LN(2)/2)*GN191+(1-EXP(-LN(2)/2))/(LN(2)/2)*GH192*GK192*VLOOKUP('Données projet'!$B$17,Paramètres!$A$1:$I$89,3,0)*0.475*44/12</f>
        <v>0</v>
      </c>
      <c r="GO192" s="23">
        <f t="shared" si="187"/>
        <v>0</v>
      </c>
      <c r="GP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68.903683563702643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1.1368683772161603E-13</v>
      </c>
      <c r="GV192" s="18">
        <f>GU192*VLOOKUP('Données projet'!$B$18,Paramètres!$A$1:$I$89,3,0)*VLOOKUP('Données projet'!$B$18,Paramètres!$A$1:$I$89,5,0)</f>
        <v>7.626113074366004E-14</v>
      </c>
      <c r="GW192" s="14">
        <f t="shared" si="188"/>
        <v>1.1823749172251317E-12</v>
      </c>
      <c r="GX192" s="22">
        <f t="shared" si="189"/>
        <v>2.1921244502123119E-12</v>
      </c>
      <c r="GY192" s="62">
        <f t="shared" si="137"/>
        <v>289.31350640024527</v>
      </c>
      <c r="GZ192" s="62">
        <f ca="1">AVERAGE(OFFSET($GY$3,0,0,'Données projet'!$E$18+1,1))-AVERAGE(OFFSET($H$3,0,0,'Données projet'!$E$18+1,1))</f>
        <v>254.35742752782755</v>
      </c>
      <c r="HA192" s="62">
        <f t="shared" si="160"/>
        <v>171.79611712137395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>
        <f>EXP(-LN(2)/35)*HG191+(1-EXP(-LN(2)/35))/(LN(2)/35)*HC192*HD192*VLOOKUP('Données projet'!$B$18,Paramètres!$A$1:$I$89,3,0)*0.475*44/12</f>
        <v>0</v>
      </c>
      <c r="HH192" s="23">
        <f>EXP(-LN(2)/25)*HH191+(1-EXP(-LN(2)/25))/(LN(2)/25)*Calculateur!HC192*Calculateur!HE192*VLOOKUP('Données projet'!$B$18,Paramètres!$A$1:$I$89,3,0)*0.475*44/12</f>
        <v>0</v>
      </c>
      <c r="HI192" s="23">
        <f>EXP(-LN(2)/2)*HI191+(1-EXP(-LN(2)/2))/(LN(2)/2)*HC192*HF192*VLOOKUP('Données projet'!$B$18,Paramètres!$A$1:$I$89,3,0)*0.475*44/12</f>
        <v>0</v>
      </c>
      <c r="HJ192" s="24">
        <f t="shared" si="190"/>
        <v>0</v>
      </c>
    </row>
    <row r="193" spans="1:218" x14ac:dyDescent="0.3">
      <c r="A193" s="11">
        <f t="shared" si="161"/>
        <v>190</v>
      </c>
      <c r="B193" s="76">
        <f>'Scénario référence'!$B$16*5+'Scénario référence'!$B$17*0+'Scénario référence'!$B$18*5</f>
        <v>3.9405000000000001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14.448500000000001</v>
      </c>
      <c r="H193" s="69">
        <f t="shared" si="110"/>
        <v>161.30656666666667</v>
      </c>
      <c r="I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68.922702202876039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210.54472399593521</v>
      </c>
      <c r="T193" s="62">
        <f t="shared" si="142"/>
        <v>181.14158435194193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68.922702202876039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289.05608923588198</v>
      </c>
      <c r="AO193" s="62">
        <f t="shared" si="144"/>
        <v>220.06639020312738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68.922702202876039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projet'!$B$11,Paramètres!$A$1:$I$89,3,0)*VLOOKUP('Données projet'!$B$11,Paramètres!$A$1:$I$89,5,0)</f>
        <v>0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299.54950406029354</v>
      </c>
      <c r="BJ193" s="62">
        <f t="shared" si="146"/>
        <v>208.26364698165739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68.922702202876039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>
        <f>BY193*VLOOKUP('Données projet'!$B$12,Paramètres!$A$1:$I$89,3,0)*VLOOKUP('Données projet'!$B$12,Paramètres!$A$1:$I$89,5,0)</f>
        <v>0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441.30518831297212</v>
      </c>
      <c r="CE193" s="62">
        <f t="shared" si="148"/>
        <v>270.42872405271851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68.922702202876039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-1.1368683772161603E-13</v>
      </c>
      <c r="CU193" s="18">
        <f>CT193*VLOOKUP('Données projet'!$B$13,Paramètres!$A$1:$I$89,3,0)*VLOOKUP('Données projet'!$B$13,Paramètres!$A$1:$I$89,5,0)</f>
        <v>-9.9316821433603781E-14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310.81258463659196</v>
      </c>
      <c r="CZ193" s="62">
        <f t="shared" si="150"/>
        <v>287.31099756692083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68.922702202876039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>
        <f>DO193*VLOOKUP('Données projet'!$B$14,Paramètres!$A$1:$I$89,3,0)*VLOOKUP('Données projet'!$B$14,Paramètres!$A$1:$I$89,5,0)</f>
        <v>0</v>
      </c>
      <c r="DQ193" s="14" t="e">
        <f t="shared" si="176"/>
        <v>#NUM!</v>
      </c>
      <c r="DR193" s="22" t="e">
        <f t="shared" si="177"/>
        <v>#NUM!</v>
      </c>
      <c r="DS193" s="62" t="e">
        <f t="shared" si="125"/>
        <v>#NUM!</v>
      </c>
      <c r="DT193" s="62">
        <f ca="1">AVERAGE(OFFSET($DS$3,0,0,'Données projet'!$E$14+1,1))-AVERAGE(OFFSET($H$3,0,0,'Données projet'!$E$14+1,1))</f>
        <v>431.19274104373625</v>
      </c>
      <c r="DU193" s="62">
        <f t="shared" si="152"/>
        <v>264.67919175178133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68.922702202876039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-6.2527760746888816E-13</v>
      </c>
      <c r="EK193" s="18">
        <f>EJ193*VLOOKUP('Données projet'!$B$15,Paramètres!$A$1:$I$89,3,0)*VLOOKUP('Données projet'!$B$15,Paramètres!$A$1:$I$89,5,0)</f>
        <v>-2.9262992029543964E-13</v>
      </c>
      <c r="EL193" s="14" t="e">
        <f t="shared" si="179"/>
        <v>#NUM!</v>
      </c>
      <c r="EM193" s="22" t="e">
        <f t="shared" si="180"/>
        <v>#NUM!</v>
      </c>
      <c r="EN193" s="62" t="e">
        <f t="shared" si="128"/>
        <v>#NUM!</v>
      </c>
      <c r="EO193" s="62">
        <f ca="1">AVERAGE(OFFSET($EN$3,0,0,'Données projet'!$E$15+1,1))-AVERAGE(OFFSET($H$3,0,0,'Données projet'!$E$15+1,1))</f>
        <v>291.68530745507815</v>
      </c>
      <c r="EP193" s="62">
        <f t="shared" si="154"/>
        <v>175.95121106728979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0</v>
      </c>
      <c r="EZ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68.922702202876039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-1.1368683772161603E-13</v>
      </c>
      <c r="FF193" s="18">
        <f>FE193*VLOOKUP('Données projet'!$B$16,Paramètres!$A$1:$I$89,3,0)*VLOOKUP('Données projet'!$B$16,Paramètres!$A$1:$I$89,5,0)</f>
        <v>-7.4487616075202823E-14</v>
      </c>
      <c r="FG193" s="14" t="e">
        <f t="shared" si="182"/>
        <v>#NUM!</v>
      </c>
      <c r="FH193" s="22" t="e">
        <f t="shared" si="183"/>
        <v>#NUM!</v>
      </c>
      <c r="FI193" s="62" t="e">
        <f t="shared" si="131"/>
        <v>#NUM!</v>
      </c>
      <c r="FJ193" s="62">
        <f ca="1">AVERAGE(OFFSET($FI$3,0,0,'Données projet'!$E$16+1,1))-AVERAGE(OFFSET($H$3,0,0,'Données projet'!$E$16+1,1))</f>
        <v>248.75689726928428</v>
      </c>
      <c r="FK193" s="62">
        <f t="shared" si="156"/>
        <v>232.02291680388336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projet'!$B$16,Paramètres!$A$1:$I$89,3,0)*0.475*44/12</f>
        <v>0</v>
      </c>
      <c r="FR193" s="23">
        <f>EXP(-LN(2)/25)*FR192+(1-EXP(-LN(2)/25))/(LN(2)/25)*Calculateur!FM193*Calculateur!FO193*VLOOKUP('Données projet'!$B$16,Paramètres!$A$1:$I$89,3,0)*0.475*44/12</f>
        <v>0</v>
      </c>
      <c r="FS193" s="23">
        <f>EXP(-LN(2)/2)*FS192+(1-EXP(-LN(2)/2))/(LN(2)/2)*FM193*FP193*VLOOKUP('Données projet'!$B$16,Paramètres!$A$1:$I$89,3,0)*0.475*44/12</f>
        <v>0</v>
      </c>
      <c r="FT193" s="24">
        <f t="shared" si="184"/>
        <v>0</v>
      </c>
      <c r="FU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68.922702202876039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5.1159076974727213E-13</v>
      </c>
      <c r="GA193" s="18">
        <f>FZ193*VLOOKUP('Données projet'!$B$17,Paramètres!$A$1:$I$89,3,0)*VLOOKUP('Données projet'!$B$17,Paramètres!$A$1:$I$89,5,0)</f>
        <v>3.0593128030886877E-13</v>
      </c>
      <c r="GB193" s="14">
        <f t="shared" si="185"/>
        <v>4.0350537939347394E-12</v>
      </c>
      <c r="GC193" s="22">
        <f t="shared" si="186"/>
        <v>7.5605490043076185E-12</v>
      </c>
      <c r="GD193" s="62">
        <f t="shared" si="134"/>
        <v>289.38324141055307</v>
      </c>
      <c r="GE193" s="62">
        <f ca="1">AVERAGE(OFFSET($GD$3,0,0,'Données projet'!$E$17+1,1))-AVERAGE(OFFSET($H$3,0,0,'Données projet'!$E$17+1,1))</f>
        <v>315.909549580511</v>
      </c>
      <c r="GF193" s="62">
        <f t="shared" si="158"/>
        <v>208.56856525402051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projet'!$B$17,Paramètres!$A$1:$I$89,3,0)*0.475*44/12</f>
        <v>0</v>
      </c>
      <c r="GM193" s="23">
        <f>EXP(-LN(2)/25)*GM192+(1-EXP(-LN(2)/25))/(LN(2)/25)*Calculateur!GH193*Calculateur!GJ193*VLOOKUP('Données projet'!$B$17,Paramètres!$A$1:$I$89,3,0)*0.475*44/12</f>
        <v>0</v>
      </c>
      <c r="GN193" s="23">
        <f>EXP(-LN(2)/2)*GN192+(1-EXP(-LN(2)/2))/(LN(2)/2)*GH193*GK193*VLOOKUP('Données projet'!$B$17,Paramètres!$A$1:$I$89,3,0)*0.475*44/12</f>
        <v>0</v>
      </c>
      <c r="GO193" s="23">
        <f t="shared" si="187"/>
        <v>0</v>
      </c>
      <c r="GP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68.922702202876039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1.1368683772161603E-13</v>
      </c>
      <c r="GV193" s="18">
        <f>GU193*VLOOKUP('Données projet'!$B$18,Paramètres!$A$1:$I$89,3,0)*VLOOKUP('Données projet'!$B$18,Paramètres!$A$1:$I$89,5,0)</f>
        <v>7.626113074366004E-14</v>
      </c>
      <c r="GW193" s="14">
        <f t="shared" si="188"/>
        <v>1.1823749172251317E-12</v>
      </c>
      <c r="GX193" s="22">
        <f t="shared" si="189"/>
        <v>2.1921244502123119E-12</v>
      </c>
      <c r="GY193" s="62">
        <f t="shared" si="137"/>
        <v>289.38324141054773</v>
      </c>
      <c r="GZ193" s="62">
        <f ca="1">AVERAGE(OFFSET($GY$3,0,0,'Données projet'!$E$18+1,1))-AVERAGE(OFFSET($H$3,0,0,'Données projet'!$E$18+1,1))</f>
        <v>254.35742752782755</v>
      </c>
      <c r="HA193" s="62">
        <f t="shared" si="160"/>
        <v>171.79611712137395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>
        <f>EXP(-LN(2)/35)*HG192+(1-EXP(-LN(2)/35))/(LN(2)/35)*HC193*HD193*VLOOKUP('Données projet'!$B$18,Paramètres!$A$1:$I$89,3,0)*0.475*44/12</f>
        <v>0</v>
      </c>
      <c r="HH193" s="23">
        <f>EXP(-LN(2)/25)*HH192+(1-EXP(-LN(2)/25))/(LN(2)/25)*Calculateur!HC193*Calculateur!HE193*VLOOKUP('Données projet'!$B$18,Paramètres!$A$1:$I$89,3,0)*0.475*44/12</f>
        <v>0</v>
      </c>
      <c r="HI193" s="23">
        <f>EXP(-LN(2)/2)*HI192+(1-EXP(-LN(2)/2))/(LN(2)/2)*HC193*HF193*VLOOKUP('Données projet'!$B$18,Paramètres!$A$1:$I$89,3,0)*0.475*44/12</f>
        <v>0</v>
      </c>
      <c r="HJ193" s="24">
        <f t="shared" si="190"/>
        <v>0</v>
      </c>
    </row>
    <row r="194" spans="1:218" x14ac:dyDescent="0.3">
      <c r="A194" s="11">
        <f t="shared" si="161"/>
        <v>191</v>
      </c>
      <c r="B194" s="76">
        <f>'Scénario référence'!$B$16*5+'Scénario référence'!$B$17*0+'Scénario référence'!$B$18*5</f>
        <v>3.9405000000000001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14.448500000000001</v>
      </c>
      <c r="H194" s="69">
        <f t="shared" si="110"/>
        <v>161.30656666666667</v>
      </c>
      <c r="I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68.941390911179084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210.54472399593521</v>
      </c>
      <c r="T194" s="62">
        <f t="shared" si="142"/>
        <v>181.14158435194193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68.941390911179084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289.05608923588198</v>
      </c>
      <c r="AO194" s="62">
        <f t="shared" si="144"/>
        <v>220.06639020312738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68.941390911179084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projet'!$B$11,Paramètres!$A$1:$I$89,3,0)*VLOOKUP('Données projet'!$B$11,Paramètres!$A$1:$I$89,5,0)</f>
        <v>0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299.54950406029354</v>
      </c>
      <c r="BJ194" s="62">
        <f t="shared" si="146"/>
        <v>208.26364698165739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68.941390911179084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>
        <f>BY194*VLOOKUP('Données projet'!$B$12,Paramètres!$A$1:$I$89,3,0)*VLOOKUP('Données projet'!$B$12,Paramètres!$A$1:$I$89,5,0)</f>
        <v>0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441.30518831297212</v>
      </c>
      <c r="CE194" s="62">
        <f t="shared" si="148"/>
        <v>270.42872405271851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68.941390911179084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-1.1368683772161603E-13</v>
      </c>
      <c r="CU194" s="18">
        <f>CT194*VLOOKUP('Données projet'!$B$13,Paramètres!$A$1:$I$89,3,0)*VLOOKUP('Données projet'!$B$13,Paramètres!$A$1:$I$89,5,0)</f>
        <v>-9.9316821433603781E-14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310.81258463659196</v>
      </c>
      <c r="CZ194" s="62">
        <f t="shared" si="150"/>
        <v>287.31099756692083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68.941390911179084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>
        <f>DO194*VLOOKUP('Données projet'!$B$14,Paramètres!$A$1:$I$89,3,0)*VLOOKUP('Données projet'!$B$14,Paramètres!$A$1:$I$89,5,0)</f>
        <v>0</v>
      </c>
      <c r="DQ194" s="14" t="e">
        <f t="shared" si="176"/>
        <v>#NUM!</v>
      </c>
      <c r="DR194" s="22" t="e">
        <f t="shared" si="177"/>
        <v>#NUM!</v>
      </c>
      <c r="DS194" s="62" t="e">
        <f t="shared" si="125"/>
        <v>#NUM!</v>
      </c>
      <c r="DT194" s="62">
        <f ca="1">AVERAGE(OFFSET($DS$3,0,0,'Données projet'!$E$14+1,1))-AVERAGE(OFFSET($H$3,0,0,'Données projet'!$E$14+1,1))</f>
        <v>431.19274104373625</v>
      </c>
      <c r="DU194" s="62">
        <f t="shared" si="152"/>
        <v>264.67919175178133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68.941390911179084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-6.2527760746888816E-13</v>
      </c>
      <c r="EK194" s="18">
        <f>EJ194*VLOOKUP('Données projet'!$B$15,Paramètres!$A$1:$I$89,3,0)*VLOOKUP('Données projet'!$B$15,Paramètres!$A$1:$I$89,5,0)</f>
        <v>-2.9262992029543964E-13</v>
      </c>
      <c r="EL194" s="14" t="e">
        <f t="shared" si="179"/>
        <v>#NUM!</v>
      </c>
      <c r="EM194" s="22" t="e">
        <f t="shared" si="180"/>
        <v>#NUM!</v>
      </c>
      <c r="EN194" s="62" t="e">
        <f t="shared" si="128"/>
        <v>#NUM!</v>
      </c>
      <c r="EO194" s="62">
        <f ca="1">AVERAGE(OFFSET($EN$3,0,0,'Données projet'!$E$15+1,1))-AVERAGE(OFFSET($H$3,0,0,'Données projet'!$E$15+1,1))</f>
        <v>291.68530745507815</v>
      </c>
      <c r="EP194" s="62">
        <f t="shared" si="154"/>
        <v>175.95121106728979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0</v>
      </c>
      <c r="EZ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68.941390911179084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-1.1368683772161603E-13</v>
      </c>
      <c r="FF194" s="18">
        <f>FE194*VLOOKUP('Données projet'!$B$16,Paramètres!$A$1:$I$89,3,0)*VLOOKUP('Données projet'!$B$16,Paramètres!$A$1:$I$89,5,0)</f>
        <v>-7.4487616075202823E-14</v>
      </c>
      <c r="FG194" s="14" t="e">
        <f t="shared" si="182"/>
        <v>#NUM!</v>
      </c>
      <c r="FH194" s="22" t="e">
        <f t="shared" si="183"/>
        <v>#NUM!</v>
      </c>
      <c r="FI194" s="62" t="e">
        <f t="shared" si="131"/>
        <v>#NUM!</v>
      </c>
      <c r="FJ194" s="62">
        <f ca="1">AVERAGE(OFFSET($FI$3,0,0,'Données projet'!$E$16+1,1))-AVERAGE(OFFSET($H$3,0,0,'Données projet'!$E$16+1,1))</f>
        <v>248.75689726928428</v>
      </c>
      <c r="FK194" s="62">
        <f t="shared" si="156"/>
        <v>232.02291680388336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projet'!$B$16,Paramètres!$A$1:$I$89,3,0)*0.475*44/12</f>
        <v>0</v>
      </c>
      <c r="FR194" s="23">
        <f>EXP(-LN(2)/25)*FR193+(1-EXP(-LN(2)/25))/(LN(2)/25)*Calculateur!FM194*Calculateur!FO194*VLOOKUP('Données projet'!$B$16,Paramètres!$A$1:$I$89,3,0)*0.475*44/12</f>
        <v>0</v>
      </c>
      <c r="FS194" s="23">
        <f>EXP(-LN(2)/2)*FS193+(1-EXP(-LN(2)/2))/(LN(2)/2)*FM194*FP194*VLOOKUP('Données projet'!$B$16,Paramètres!$A$1:$I$89,3,0)*0.475*44/12</f>
        <v>0</v>
      </c>
      <c r="FT194" s="24">
        <f t="shared" si="184"/>
        <v>0</v>
      </c>
      <c r="FU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68.941390911179084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5.1159076974727213E-13</v>
      </c>
      <c r="GA194" s="18">
        <f>FZ194*VLOOKUP('Données projet'!$B$17,Paramètres!$A$1:$I$89,3,0)*VLOOKUP('Données projet'!$B$17,Paramètres!$A$1:$I$89,5,0)</f>
        <v>3.0593128030886877E-13</v>
      </c>
      <c r="GB194" s="14">
        <f t="shared" si="185"/>
        <v>4.0350537939347394E-12</v>
      </c>
      <c r="GC194" s="22">
        <f t="shared" si="186"/>
        <v>7.5605490043076185E-12</v>
      </c>
      <c r="GD194" s="62">
        <f t="shared" si="134"/>
        <v>289.45176667433088</v>
      </c>
      <c r="GE194" s="62">
        <f ca="1">AVERAGE(OFFSET($GD$3,0,0,'Données projet'!$E$17+1,1))-AVERAGE(OFFSET($H$3,0,0,'Données projet'!$E$17+1,1))</f>
        <v>315.909549580511</v>
      </c>
      <c r="GF194" s="62">
        <f t="shared" si="158"/>
        <v>208.56856525402051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projet'!$B$17,Paramètres!$A$1:$I$89,3,0)*0.475*44/12</f>
        <v>0</v>
      </c>
      <c r="GM194" s="23">
        <f>EXP(-LN(2)/25)*GM193+(1-EXP(-LN(2)/25))/(LN(2)/25)*Calculateur!GH194*Calculateur!GJ194*VLOOKUP('Données projet'!$B$17,Paramètres!$A$1:$I$89,3,0)*0.475*44/12</f>
        <v>0</v>
      </c>
      <c r="GN194" s="23">
        <f>EXP(-LN(2)/2)*GN193+(1-EXP(-LN(2)/2))/(LN(2)/2)*GH194*GK194*VLOOKUP('Données projet'!$B$17,Paramètres!$A$1:$I$89,3,0)*0.475*44/12</f>
        <v>0</v>
      </c>
      <c r="GO194" s="23">
        <f t="shared" si="187"/>
        <v>0</v>
      </c>
      <c r="GP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68.941390911179084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1.1368683772161603E-13</v>
      </c>
      <c r="GV194" s="18">
        <f>GU194*VLOOKUP('Données projet'!$B$18,Paramètres!$A$1:$I$89,3,0)*VLOOKUP('Données projet'!$B$18,Paramètres!$A$1:$I$89,5,0)</f>
        <v>7.626113074366004E-14</v>
      </c>
      <c r="GW194" s="14">
        <f t="shared" si="188"/>
        <v>1.1823749172251317E-12</v>
      </c>
      <c r="GX194" s="22">
        <f t="shared" si="189"/>
        <v>2.1921244502123119E-12</v>
      </c>
      <c r="GY194" s="62">
        <f t="shared" si="137"/>
        <v>289.45176667432554</v>
      </c>
      <c r="GZ194" s="62">
        <f ca="1">AVERAGE(OFFSET($GY$3,0,0,'Données projet'!$E$18+1,1))-AVERAGE(OFFSET($H$3,0,0,'Données projet'!$E$18+1,1))</f>
        <v>254.35742752782755</v>
      </c>
      <c r="HA194" s="62">
        <f t="shared" si="160"/>
        <v>171.79611712137395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>
        <f>EXP(-LN(2)/35)*HG193+(1-EXP(-LN(2)/35))/(LN(2)/35)*HC194*HD194*VLOOKUP('Données projet'!$B$18,Paramètres!$A$1:$I$89,3,0)*0.475*44/12</f>
        <v>0</v>
      </c>
      <c r="HH194" s="23">
        <f>EXP(-LN(2)/25)*HH193+(1-EXP(-LN(2)/25))/(LN(2)/25)*Calculateur!HC194*Calculateur!HE194*VLOOKUP('Données projet'!$B$18,Paramètres!$A$1:$I$89,3,0)*0.475*44/12</f>
        <v>0</v>
      </c>
      <c r="HI194" s="23">
        <f>EXP(-LN(2)/2)*HI193+(1-EXP(-LN(2)/2))/(LN(2)/2)*HC194*HF194*VLOOKUP('Données projet'!$B$18,Paramètres!$A$1:$I$89,3,0)*0.475*44/12</f>
        <v>0</v>
      </c>
      <c r="HJ194" s="24">
        <f t="shared" si="190"/>
        <v>0</v>
      </c>
    </row>
    <row r="195" spans="1:218" x14ac:dyDescent="0.3">
      <c r="A195" s="11">
        <f t="shared" si="161"/>
        <v>192</v>
      </c>
      <c r="B195" s="76">
        <f>'Scénario référence'!$B$16*5+'Scénario référence'!$B$17*0+'Scénario référence'!$B$18*5</f>
        <v>3.9405000000000001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14.448500000000001</v>
      </c>
      <c r="H195" s="69">
        <f t="shared" si="110"/>
        <v>161.30656666666667</v>
      </c>
      <c r="I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68.959755412174772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210.54472399593521</v>
      </c>
      <c r="T195" s="62">
        <f t="shared" si="142"/>
        <v>181.14158435194193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68.959755412174772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289.05608923588198</v>
      </c>
      <c r="AO195" s="62">
        <f t="shared" si="144"/>
        <v>220.06639020312738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68.959755412174772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projet'!$B$11,Paramètres!$A$1:$I$89,3,0)*VLOOKUP('Données projet'!$B$11,Paramètres!$A$1:$I$89,5,0)</f>
        <v>0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299.54950406029354</v>
      </c>
      <c r="BJ195" s="62">
        <f t="shared" si="146"/>
        <v>208.26364698165739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68.959755412174772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>
        <f>BY195*VLOOKUP('Données projet'!$B$12,Paramètres!$A$1:$I$89,3,0)*VLOOKUP('Données projet'!$B$12,Paramètres!$A$1:$I$89,5,0)</f>
        <v>0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441.30518831297212</v>
      </c>
      <c r="CE195" s="62">
        <f t="shared" si="148"/>
        <v>270.42872405271851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68.959755412174772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-1.1368683772161603E-13</v>
      </c>
      <c r="CU195" s="18">
        <f>CT195*VLOOKUP('Données projet'!$B$13,Paramètres!$A$1:$I$89,3,0)*VLOOKUP('Données projet'!$B$13,Paramètres!$A$1:$I$89,5,0)</f>
        <v>-9.9316821433603781E-14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310.81258463659196</v>
      </c>
      <c r="CZ195" s="62">
        <f t="shared" si="150"/>
        <v>287.31099756692083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68.959755412174772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>
        <f>DO195*VLOOKUP('Données projet'!$B$14,Paramètres!$A$1:$I$89,3,0)*VLOOKUP('Données projet'!$B$14,Paramètres!$A$1:$I$89,5,0)</f>
        <v>0</v>
      </c>
      <c r="DQ195" s="14" t="e">
        <f t="shared" si="176"/>
        <v>#NUM!</v>
      </c>
      <c r="DR195" s="22" t="e">
        <f t="shared" si="177"/>
        <v>#NUM!</v>
      </c>
      <c r="DS195" s="62" t="e">
        <f t="shared" si="125"/>
        <v>#NUM!</v>
      </c>
      <c r="DT195" s="62">
        <f ca="1">AVERAGE(OFFSET($DS$3,0,0,'Données projet'!$E$14+1,1))-AVERAGE(OFFSET($H$3,0,0,'Données projet'!$E$14+1,1))</f>
        <v>431.19274104373625</v>
      </c>
      <c r="DU195" s="62">
        <f t="shared" si="152"/>
        <v>264.67919175178133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68.959755412174772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-6.2527760746888816E-13</v>
      </c>
      <c r="EK195" s="18">
        <f>EJ195*VLOOKUP('Données projet'!$B$15,Paramètres!$A$1:$I$89,3,0)*VLOOKUP('Données projet'!$B$15,Paramètres!$A$1:$I$89,5,0)</f>
        <v>-2.9262992029543964E-13</v>
      </c>
      <c r="EL195" s="14" t="e">
        <f t="shared" si="179"/>
        <v>#NUM!</v>
      </c>
      <c r="EM195" s="22" t="e">
        <f t="shared" si="180"/>
        <v>#NUM!</v>
      </c>
      <c r="EN195" s="62" t="e">
        <f t="shared" si="128"/>
        <v>#NUM!</v>
      </c>
      <c r="EO195" s="62">
        <f ca="1">AVERAGE(OFFSET($EN$3,0,0,'Données projet'!$E$15+1,1))-AVERAGE(OFFSET($H$3,0,0,'Données projet'!$E$15+1,1))</f>
        <v>291.68530745507815</v>
      </c>
      <c r="EP195" s="62">
        <f t="shared" si="154"/>
        <v>175.95121106728979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0</v>
      </c>
      <c r="EZ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68.959755412174772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-1.1368683772161603E-13</v>
      </c>
      <c r="FF195" s="18">
        <f>FE195*VLOOKUP('Données projet'!$B$16,Paramètres!$A$1:$I$89,3,0)*VLOOKUP('Données projet'!$B$16,Paramètres!$A$1:$I$89,5,0)</f>
        <v>-7.4487616075202823E-14</v>
      </c>
      <c r="FG195" s="14" t="e">
        <f t="shared" si="182"/>
        <v>#NUM!</v>
      </c>
      <c r="FH195" s="22" t="e">
        <f t="shared" si="183"/>
        <v>#NUM!</v>
      </c>
      <c r="FI195" s="62" t="e">
        <f t="shared" si="131"/>
        <v>#NUM!</v>
      </c>
      <c r="FJ195" s="62">
        <f ca="1">AVERAGE(OFFSET($FI$3,0,0,'Données projet'!$E$16+1,1))-AVERAGE(OFFSET($H$3,0,0,'Données projet'!$E$16+1,1))</f>
        <v>248.75689726928428</v>
      </c>
      <c r="FK195" s="62">
        <f t="shared" si="156"/>
        <v>232.02291680388336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projet'!$B$16,Paramètres!$A$1:$I$89,3,0)*0.475*44/12</f>
        <v>0</v>
      </c>
      <c r="FR195" s="23">
        <f>EXP(-LN(2)/25)*FR194+(1-EXP(-LN(2)/25))/(LN(2)/25)*Calculateur!FM195*Calculateur!FO195*VLOOKUP('Données projet'!$B$16,Paramètres!$A$1:$I$89,3,0)*0.475*44/12</f>
        <v>0</v>
      </c>
      <c r="FS195" s="23">
        <f>EXP(-LN(2)/2)*FS194+(1-EXP(-LN(2)/2))/(LN(2)/2)*FM195*FP195*VLOOKUP('Données projet'!$B$16,Paramètres!$A$1:$I$89,3,0)*0.475*44/12</f>
        <v>0</v>
      </c>
      <c r="FT195" s="24">
        <f t="shared" si="184"/>
        <v>0</v>
      </c>
      <c r="FU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68.959755412174772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5.1159076974727213E-13</v>
      </c>
      <c r="GA195" s="18">
        <f>FZ195*VLOOKUP('Données projet'!$B$17,Paramètres!$A$1:$I$89,3,0)*VLOOKUP('Données projet'!$B$17,Paramètres!$A$1:$I$89,5,0)</f>
        <v>3.0593128030886877E-13</v>
      </c>
      <c r="GB195" s="14">
        <f t="shared" si="185"/>
        <v>4.0350537939347394E-12</v>
      </c>
      <c r="GC195" s="22">
        <f t="shared" si="186"/>
        <v>7.5605490043076185E-12</v>
      </c>
      <c r="GD195" s="62">
        <f t="shared" si="134"/>
        <v>289.51910317798172</v>
      </c>
      <c r="GE195" s="62">
        <f ca="1">AVERAGE(OFFSET($GD$3,0,0,'Données projet'!$E$17+1,1))-AVERAGE(OFFSET($H$3,0,0,'Données projet'!$E$17+1,1))</f>
        <v>315.909549580511</v>
      </c>
      <c r="GF195" s="62">
        <f t="shared" si="158"/>
        <v>208.56856525402051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projet'!$B$17,Paramètres!$A$1:$I$89,3,0)*0.475*44/12</f>
        <v>0</v>
      </c>
      <c r="GM195" s="23">
        <f>EXP(-LN(2)/25)*GM194+(1-EXP(-LN(2)/25))/(LN(2)/25)*Calculateur!GH195*Calculateur!GJ195*VLOOKUP('Données projet'!$B$17,Paramètres!$A$1:$I$89,3,0)*0.475*44/12</f>
        <v>0</v>
      </c>
      <c r="GN195" s="23">
        <f>EXP(-LN(2)/2)*GN194+(1-EXP(-LN(2)/2))/(LN(2)/2)*GH195*GK195*VLOOKUP('Données projet'!$B$17,Paramètres!$A$1:$I$89,3,0)*0.475*44/12</f>
        <v>0</v>
      </c>
      <c r="GO195" s="23">
        <f t="shared" si="187"/>
        <v>0</v>
      </c>
      <c r="GP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68.959755412174772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1.1368683772161603E-13</v>
      </c>
      <c r="GV195" s="18">
        <f>GU195*VLOOKUP('Données projet'!$B$18,Paramètres!$A$1:$I$89,3,0)*VLOOKUP('Données projet'!$B$18,Paramètres!$A$1:$I$89,5,0)</f>
        <v>7.626113074366004E-14</v>
      </c>
      <c r="GW195" s="14">
        <f t="shared" si="188"/>
        <v>1.1823749172251317E-12</v>
      </c>
      <c r="GX195" s="22">
        <f t="shared" si="189"/>
        <v>2.1921244502123119E-12</v>
      </c>
      <c r="GY195" s="62">
        <f t="shared" si="137"/>
        <v>289.51910317797638</v>
      </c>
      <c r="GZ195" s="62">
        <f ca="1">AVERAGE(OFFSET($GY$3,0,0,'Données projet'!$E$18+1,1))-AVERAGE(OFFSET($H$3,0,0,'Données projet'!$E$18+1,1))</f>
        <v>254.35742752782755</v>
      </c>
      <c r="HA195" s="62">
        <f t="shared" si="160"/>
        <v>171.79611712137395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>
        <f>EXP(-LN(2)/35)*HG194+(1-EXP(-LN(2)/35))/(LN(2)/35)*HC195*HD195*VLOOKUP('Données projet'!$B$18,Paramètres!$A$1:$I$89,3,0)*0.475*44/12</f>
        <v>0</v>
      </c>
      <c r="HH195" s="23">
        <f>EXP(-LN(2)/25)*HH194+(1-EXP(-LN(2)/25))/(LN(2)/25)*Calculateur!HC195*Calculateur!HE195*VLOOKUP('Données projet'!$B$18,Paramètres!$A$1:$I$89,3,0)*0.475*44/12</f>
        <v>0</v>
      </c>
      <c r="HI195" s="23">
        <f>EXP(-LN(2)/2)*HI194+(1-EXP(-LN(2)/2))/(LN(2)/2)*HC195*HF195*VLOOKUP('Données projet'!$B$18,Paramètres!$A$1:$I$89,3,0)*0.475*44/12</f>
        <v>0</v>
      </c>
      <c r="HJ195" s="24">
        <f t="shared" si="190"/>
        <v>0</v>
      </c>
    </row>
    <row r="196" spans="1:218" x14ac:dyDescent="0.3">
      <c r="A196" s="11">
        <f t="shared" si="161"/>
        <v>193</v>
      </c>
      <c r="B196" s="76">
        <f>'Scénario référence'!$B$16*5+'Scénario référence'!$B$17*0+'Scénario référence'!$B$18*5</f>
        <v>3.9405000000000001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14.448500000000001</v>
      </c>
      <c r="H196" s="69">
        <f t="shared" ref="H196:H203" si="192">(B196+E196+F196)*44/12+(C196+D196)*0.475*44/12</f>
        <v>161.30656666666667</v>
      </c>
      <c r="I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68.977801330135037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210.54472399593521</v>
      </c>
      <c r="T196" s="62">
        <f t="shared" si="142"/>
        <v>181.14158435194193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68.977801330135037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289.05608923588198</v>
      </c>
      <c r="AO196" s="62">
        <f t="shared" si="144"/>
        <v>220.06639020312738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68.977801330135037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projet'!$B$11,Paramètres!$A$1:$I$89,3,0)*VLOOKUP('Données projet'!$B$11,Paramètres!$A$1:$I$89,5,0)</f>
        <v>0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299.54950406029354</v>
      </c>
      <c r="BJ196" s="62">
        <f t="shared" si="146"/>
        <v>208.26364698165739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68.977801330135037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>
        <f>BY196*VLOOKUP('Données projet'!$B$12,Paramètres!$A$1:$I$89,3,0)*VLOOKUP('Données projet'!$B$12,Paramètres!$A$1:$I$89,5,0)</f>
        <v>0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441.30518831297212</v>
      </c>
      <c r="CE196" s="62">
        <f t="shared" si="148"/>
        <v>270.42872405271851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68.977801330135037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-1.1368683772161603E-13</v>
      </c>
      <c r="CU196" s="18">
        <f>CT196*VLOOKUP('Données projet'!$B$13,Paramètres!$A$1:$I$89,3,0)*VLOOKUP('Données projet'!$B$13,Paramètres!$A$1:$I$89,5,0)</f>
        <v>-9.9316821433603781E-14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310.81258463659196</v>
      </c>
      <c r="CZ196" s="62">
        <f t="shared" si="150"/>
        <v>287.31099756692083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68.977801330135037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>
        <f>DO196*VLOOKUP('Données projet'!$B$14,Paramètres!$A$1:$I$89,3,0)*VLOOKUP('Données projet'!$B$14,Paramètres!$A$1:$I$89,5,0)</f>
        <v>0</v>
      </c>
      <c r="DQ196" s="14" t="e">
        <f t="shared" si="176"/>
        <v>#NUM!</v>
      </c>
      <c r="DR196" s="22" t="e">
        <f t="shared" si="177"/>
        <v>#NUM!</v>
      </c>
      <c r="DS196" s="62" t="e">
        <f t="shared" ref="DS196:DS203" si="197">DR196+(DJ196+DK196)*44/12</f>
        <v>#NUM!</v>
      </c>
      <c r="DT196" s="62">
        <f ca="1">AVERAGE(OFFSET($DS$3,0,0,'Données projet'!$E$14+1,1))-AVERAGE(OFFSET($H$3,0,0,'Données projet'!$E$14+1,1))</f>
        <v>431.19274104373625</v>
      </c>
      <c r="DU196" s="62">
        <f t="shared" si="152"/>
        <v>264.67919175178133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68.977801330135037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-6.2527760746888816E-13</v>
      </c>
      <c r="EK196" s="18">
        <f>EJ196*VLOOKUP('Données projet'!$B$15,Paramètres!$A$1:$I$89,3,0)*VLOOKUP('Données projet'!$B$15,Paramètres!$A$1:$I$89,5,0)</f>
        <v>-2.9262992029543964E-13</v>
      </c>
      <c r="EL196" s="14" t="e">
        <f t="shared" si="179"/>
        <v>#NUM!</v>
      </c>
      <c r="EM196" s="22" t="e">
        <f t="shared" si="180"/>
        <v>#NUM!</v>
      </c>
      <c r="EN196" s="62" t="e">
        <f t="shared" ref="EN196:EN203" si="198">EM196+(EE196+EF196)*44/12</f>
        <v>#NUM!</v>
      </c>
      <c r="EO196" s="62">
        <f ca="1">AVERAGE(OFFSET($EN$3,0,0,'Données projet'!$E$15+1,1))-AVERAGE(OFFSET($H$3,0,0,'Données projet'!$E$15+1,1))</f>
        <v>291.68530745507815</v>
      </c>
      <c r="EP196" s="62">
        <f t="shared" si="154"/>
        <v>175.95121106728979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0</v>
      </c>
      <c r="EZ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68.977801330135037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-1.1368683772161603E-13</v>
      </c>
      <c r="FF196" s="18">
        <f>FE196*VLOOKUP('Données projet'!$B$16,Paramètres!$A$1:$I$89,3,0)*VLOOKUP('Données projet'!$B$16,Paramètres!$A$1:$I$89,5,0)</f>
        <v>-7.4487616075202823E-14</v>
      </c>
      <c r="FG196" s="14" t="e">
        <f t="shared" si="182"/>
        <v>#NUM!</v>
      </c>
      <c r="FH196" s="22" t="e">
        <f t="shared" si="183"/>
        <v>#NUM!</v>
      </c>
      <c r="FI196" s="62" t="e">
        <f t="shared" ref="FI196:FI203" si="199">FH196+(EZ196+FA196)*44/12</f>
        <v>#NUM!</v>
      </c>
      <c r="FJ196" s="62">
        <f ca="1">AVERAGE(OFFSET($FI$3,0,0,'Données projet'!$E$16+1,1))-AVERAGE(OFFSET($H$3,0,0,'Données projet'!$E$16+1,1))</f>
        <v>248.75689726928428</v>
      </c>
      <c r="FK196" s="62">
        <f t="shared" si="156"/>
        <v>232.02291680388336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projet'!$B$16,Paramètres!$A$1:$I$89,3,0)*0.475*44/12</f>
        <v>0</v>
      </c>
      <c r="FR196" s="23">
        <f>EXP(-LN(2)/25)*FR195+(1-EXP(-LN(2)/25))/(LN(2)/25)*Calculateur!FM196*Calculateur!FO196*VLOOKUP('Données projet'!$B$16,Paramètres!$A$1:$I$89,3,0)*0.475*44/12</f>
        <v>0</v>
      </c>
      <c r="FS196" s="23">
        <f>EXP(-LN(2)/2)*FS195+(1-EXP(-LN(2)/2))/(LN(2)/2)*FM196*FP196*VLOOKUP('Données projet'!$B$16,Paramètres!$A$1:$I$89,3,0)*0.475*44/12</f>
        <v>0</v>
      </c>
      <c r="FT196" s="24">
        <f t="shared" si="184"/>
        <v>0</v>
      </c>
      <c r="FU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68.977801330135037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5.1159076974727213E-13</v>
      </c>
      <c r="GA196" s="18">
        <f>FZ196*VLOOKUP('Données projet'!$B$17,Paramètres!$A$1:$I$89,3,0)*VLOOKUP('Données projet'!$B$17,Paramètres!$A$1:$I$89,5,0)</f>
        <v>3.0593128030886877E-13</v>
      </c>
      <c r="GB196" s="14">
        <f t="shared" si="185"/>
        <v>4.0350537939347394E-12</v>
      </c>
      <c r="GC196" s="22">
        <f t="shared" si="186"/>
        <v>7.5605490043076185E-12</v>
      </c>
      <c r="GD196" s="62">
        <f t="shared" ref="GD196:GD203" si="200">GC196+(FU196+FV196)*44/12</f>
        <v>289.58527154383603</v>
      </c>
      <c r="GE196" s="62">
        <f ca="1">AVERAGE(OFFSET($GD$3,0,0,'Données projet'!$E$17+1,1))-AVERAGE(OFFSET($H$3,0,0,'Données projet'!$E$17+1,1))</f>
        <v>315.909549580511</v>
      </c>
      <c r="GF196" s="62">
        <f t="shared" si="158"/>
        <v>208.56856525402051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projet'!$B$17,Paramètres!$A$1:$I$89,3,0)*0.475*44/12</f>
        <v>0</v>
      </c>
      <c r="GM196" s="23">
        <f>EXP(-LN(2)/25)*GM195+(1-EXP(-LN(2)/25))/(LN(2)/25)*Calculateur!GH196*Calculateur!GJ196*VLOOKUP('Données projet'!$B$17,Paramètres!$A$1:$I$89,3,0)*0.475*44/12</f>
        <v>0</v>
      </c>
      <c r="GN196" s="23">
        <f>EXP(-LN(2)/2)*GN195+(1-EXP(-LN(2)/2))/(LN(2)/2)*GH196*GK196*VLOOKUP('Données projet'!$B$17,Paramètres!$A$1:$I$89,3,0)*0.475*44/12</f>
        <v>0</v>
      </c>
      <c r="GO196" s="23">
        <f t="shared" si="187"/>
        <v>0</v>
      </c>
      <c r="GP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68.977801330135037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1.1368683772161603E-13</v>
      </c>
      <c r="GV196" s="18">
        <f>GU196*VLOOKUP('Données projet'!$B$18,Paramètres!$A$1:$I$89,3,0)*VLOOKUP('Données projet'!$B$18,Paramètres!$A$1:$I$89,5,0)</f>
        <v>7.626113074366004E-14</v>
      </c>
      <c r="GW196" s="14">
        <f t="shared" si="188"/>
        <v>1.1823749172251317E-12</v>
      </c>
      <c r="GX196" s="22">
        <f t="shared" si="189"/>
        <v>2.1921244502123119E-12</v>
      </c>
      <c r="GY196" s="62">
        <f t="shared" ref="GY196:GY203" si="201">GX196+(GP196+GQ196)*44/12</f>
        <v>289.58527154383069</v>
      </c>
      <c r="GZ196" s="62">
        <f ca="1">AVERAGE(OFFSET($GY$3,0,0,'Données projet'!$E$18+1,1))-AVERAGE(OFFSET($H$3,0,0,'Données projet'!$E$18+1,1))</f>
        <v>254.35742752782755</v>
      </c>
      <c r="HA196" s="62">
        <f t="shared" si="160"/>
        <v>171.79611712137395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>
        <f>EXP(-LN(2)/35)*HG195+(1-EXP(-LN(2)/35))/(LN(2)/35)*HC196*HD196*VLOOKUP('Données projet'!$B$18,Paramètres!$A$1:$I$89,3,0)*0.475*44/12</f>
        <v>0</v>
      </c>
      <c r="HH196" s="23">
        <f>EXP(-LN(2)/25)*HH195+(1-EXP(-LN(2)/25))/(LN(2)/25)*Calculateur!HC196*Calculateur!HE196*VLOOKUP('Données projet'!$B$18,Paramètres!$A$1:$I$89,3,0)*0.475*44/12</f>
        <v>0</v>
      </c>
      <c r="HI196" s="23">
        <f>EXP(-LN(2)/2)*HI195+(1-EXP(-LN(2)/2))/(LN(2)/2)*HC196*HF196*VLOOKUP('Données projet'!$B$18,Paramètres!$A$1:$I$89,3,0)*0.475*44/12</f>
        <v>0</v>
      </c>
      <c r="HJ196" s="24">
        <f t="shared" si="190"/>
        <v>0</v>
      </c>
    </row>
    <row r="197" spans="1:218" x14ac:dyDescent="0.3">
      <c r="A197" s="11">
        <f t="shared" si="161"/>
        <v>194</v>
      </c>
      <c r="B197" s="76">
        <f>'Scénario référence'!$B$16*5+'Scénario référence'!$B$17*0+'Scénario référence'!$B$18*5</f>
        <v>3.9405000000000001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14.448500000000001</v>
      </c>
      <c r="H197" s="69">
        <f t="shared" si="192"/>
        <v>161.30656666666667</v>
      </c>
      <c r="I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68.99553419176334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210.54472399593521</v>
      </c>
      <c r="T197" s="62">
        <f t="shared" ref="T197:T203" si="204">$T$3</f>
        <v>181.14158435194193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68.99553419176334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289.05608923588198</v>
      </c>
      <c r="AO197" s="62">
        <f t="shared" ref="AO197:AO203" si="205">$AO$3</f>
        <v>220.06639020312738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68.99553419176334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projet'!$B$11,Paramètres!$A$1:$I$89,3,0)*VLOOKUP('Données projet'!$B$11,Paramètres!$A$1:$I$89,5,0)</f>
        <v>0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299.54950406029354</v>
      </c>
      <c r="BJ197" s="62">
        <f t="shared" ref="BJ197:BJ203" si="206">$BJ$3</f>
        <v>208.26364698165739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68.99553419176334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>
        <f>BY197*VLOOKUP('Données projet'!$B$12,Paramètres!$A$1:$I$89,3,0)*VLOOKUP('Données projet'!$B$12,Paramètres!$A$1:$I$89,5,0)</f>
        <v>0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441.30518831297212</v>
      </c>
      <c r="CE197" s="62">
        <f t="shared" ref="CE197:CE203" si="207">$CE$3</f>
        <v>270.42872405271851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68.99553419176334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-1.1368683772161603E-13</v>
      </c>
      <c r="CU197" s="18">
        <f>CT197*VLOOKUP('Données projet'!$B$13,Paramètres!$A$1:$I$89,3,0)*VLOOKUP('Données projet'!$B$13,Paramètres!$A$1:$I$89,5,0)</f>
        <v>-9.9316821433603781E-14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310.81258463659196</v>
      </c>
      <c r="CZ197" s="62">
        <f t="shared" ref="CZ197:CZ203" si="208">$CZ$3</f>
        <v>287.31099756692083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68.99553419176334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>
        <f>DO197*VLOOKUP('Données projet'!$B$14,Paramètres!$A$1:$I$89,3,0)*VLOOKUP('Données projet'!$B$14,Paramètres!$A$1:$I$89,5,0)</f>
        <v>0</v>
      </c>
      <c r="DQ197" s="14" t="e">
        <f t="shared" si="176"/>
        <v>#NUM!</v>
      </c>
      <c r="DR197" s="22" t="e">
        <f t="shared" si="177"/>
        <v>#NUM!</v>
      </c>
      <c r="DS197" s="62" t="e">
        <f t="shared" si="197"/>
        <v>#NUM!</v>
      </c>
      <c r="DT197" s="62">
        <f ca="1">AVERAGE(OFFSET($DS$3,0,0,'Données projet'!$E$14+1,1))-AVERAGE(OFFSET($H$3,0,0,'Données projet'!$E$14+1,1))</f>
        <v>431.19274104373625</v>
      </c>
      <c r="DU197" s="62">
        <f t="shared" ref="DU197:DU203" si="209">$DU$3</f>
        <v>264.67919175178133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68.99553419176334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-6.2527760746888816E-13</v>
      </c>
      <c r="EK197" s="18">
        <f>EJ197*VLOOKUP('Données projet'!$B$15,Paramètres!$A$1:$I$89,3,0)*VLOOKUP('Données projet'!$B$15,Paramètres!$A$1:$I$89,5,0)</f>
        <v>-2.9262992029543964E-13</v>
      </c>
      <c r="EL197" s="14" t="e">
        <f t="shared" si="179"/>
        <v>#NUM!</v>
      </c>
      <c r="EM197" s="22" t="e">
        <f t="shared" si="180"/>
        <v>#NUM!</v>
      </c>
      <c r="EN197" s="62" t="e">
        <f t="shared" si="198"/>
        <v>#NUM!</v>
      </c>
      <c r="EO197" s="62">
        <f ca="1">AVERAGE(OFFSET($EN$3,0,0,'Données projet'!$E$15+1,1))-AVERAGE(OFFSET($H$3,0,0,'Données projet'!$E$15+1,1))</f>
        <v>291.68530745507815</v>
      </c>
      <c r="EP197" s="62">
        <f t="shared" ref="EP197:EP203" si="210">$EP$3</f>
        <v>175.95121106728979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0</v>
      </c>
      <c r="EZ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68.99553419176334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-1.1368683772161603E-13</v>
      </c>
      <c r="FF197" s="18">
        <f>FE197*VLOOKUP('Données projet'!$B$16,Paramètres!$A$1:$I$89,3,0)*VLOOKUP('Données projet'!$B$16,Paramètres!$A$1:$I$89,5,0)</f>
        <v>-7.4487616075202823E-14</v>
      </c>
      <c r="FG197" s="14" t="e">
        <f t="shared" si="182"/>
        <v>#NUM!</v>
      </c>
      <c r="FH197" s="22" t="e">
        <f t="shared" si="183"/>
        <v>#NUM!</v>
      </c>
      <c r="FI197" s="62" t="e">
        <f t="shared" si="199"/>
        <v>#NUM!</v>
      </c>
      <c r="FJ197" s="62">
        <f ca="1">AVERAGE(OFFSET($FI$3,0,0,'Données projet'!$E$16+1,1))-AVERAGE(OFFSET($H$3,0,0,'Données projet'!$E$16+1,1))</f>
        <v>248.75689726928428</v>
      </c>
      <c r="FK197" s="62">
        <f t="shared" ref="FK197:FK203" si="211">$FK$3</f>
        <v>232.02291680388336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projet'!$B$16,Paramètres!$A$1:$I$89,3,0)*0.475*44/12</f>
        <v>0</v>
      </c>
      <c r="FR197" s="23">
        <f>EXP(-LN(2)/25)*FR196+(1-EXP(-LN(2)/25))/(LN(2)/25)*Calculateur!FM197*Calculateur!FO197*VLOOKUP('Données projet'!$B$16,Paramètres!$A$1:$I$89,3,0)*0.475*44/12</f>
        <v>0</v>
      </c>
      <c r="FS197" s="23">
        <f>EXP(-LN(2)/2)*FS196+(1-EXP(-LN(2)/2))/(LN(2)/2)*FM197*FP197*VLOOKUP('Données projet'!$B$16,Paramètres!$A$1:$I$89,3,0)*0.475*44/12</f>
        <v>0</v>
      </c>
      <c r="FT197" s="24">
        <f t="shared" si="184"/>
        <v>0</v>
      </c>
      <c r="FU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68.99553419176334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5.1159076974727213E-13</v>
      </c>
      <c r="GA197" s="18">
        <f>FZ197*VLOOKUP('Données projet'!$B$17,Paramètres!$A$1:$I$89,3,0)*VLOOKUP('Données projet'!$B$17,Paramètres!$A$1:$I$89,5,0)</f>
        <v>3.0593128030886877E-13</v>
      </c>
      <c r="GB197" s="14">
        <f t="shared" si="185"/>
        <v>4.0350537939347394E-12</v>
      </c>
      <c r="GC197" s="22">
        <f t="shared" si="186"/>
        <v>7.5605490043076185E-12</v>
      </c>
      <c r="GD197" s="62">
        <f t="shared" si="200"/>
        <v>289.65029203647316</v>
      </c>
      <c r="GE197" s="62">
        <f ca="1">AVERAGE(OFFSET($GD$3,0,0,'Données projet'!$E$17+1,1))-AVERAGE(OFFSET($H$3,0,0,'Données projet'!$E$17+1,1))</f>
        <v>315.909549580511</v>
      </c>
      <c r="GF197" s="62">
        <f t="shared" ref="GF197:GF203" si="212">$GF$3</f>
        <v>208.56856525402051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projet'!$B$17,Paramètres!$A$1:$I$89,3,0)*0.475*44/12</f>
        <v>0</v>
      </c>
      <c r="GM197" s="23">
        <f>EXP(-LN(2)/25)*GM196+(1-EXP(-LN(2)/25))/(LN(2)/25)*Calculateur!GH197*Calculateur!GJ197*VLOOKUP('Données projet'!$B$17,Paramètres!$A$1:$I$89,3,0)*0.475*44/12</f>
        <v>0</v>
      </c>
      <c r="GN197" s="23">
        <f>EXP(-LN(2)/2)*GN196+(1-EXP(-LN(2)/2))/(LN(2)/2)*GH197*GK197*VLOOKUP('Données projet'!$B$17,Paramètres!$A$1:$I$89,3,0)*0.475*44/12</f>
        <v>0</v>
      </c>
      <c r="GO197" s="23">
        <f t="shared" si="187"/>
        <v>0</v>
      </c>
      <c r="GP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68.99553419176334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1.1368683772161603E-13</v>
      </c>
      <c r="GV197" s="18">
        <f>GU197*VLOOKUP('Données projet'!$B$18,Paramètres!$A$1:$I$89,3,0)*VLOOKUP('Données projet'!$B$18,Paramètres!$A$1:$I$89,5,0)</f>
        <v>7.626113074366004E-14</v>
      </c>
      <c r="GW197" s="14">
        <f t="shared" si="188"/>
        <v>1.1823749172251317E-12</v>
      </c>
      <c r="GX197" s="22">
        <f t="shared" si="189"/>
        <v>2.1921244502123119E-12</v>
      </c>
      <c r="GY197" s="62">
        <f t="shared" si="201"/>
        <v>289.65029203646782</v>
      </c>
      <c r="GZ197" s="62">
        <f ca="1">AVERAGE(OFFSET($GY$3,0,0,'Données projet'!$E$18+1,1))-AVERAGE(OFFSET($H$3,0,0,'Données projet'!$E$18+1,1))</f>
        <v>254.35742752782755</v>
      </c>
      <c r="HA197" s="62">
        <f t="shared" ref="HA197:HA203" si="213">$HA$3</f>
        <v>171.79611712137395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>
        <f>EXP(-LN(2)/35)*HG196+(1-EXP(-LN(2)/35))/(LN(2)/35)*HC197*HD197*VLOOKUP('Données projet'!$B$18,Paramètres!$A$1:$I$89,3,0)*0.475*44/12</f>
        <v>0</v>
      </c>
      <c r="HH197" s="23">
        <f>EXP(-LN(2)/25)*HH196+(1-EXP(-LN(2)/25))/(LN(2)/25)*Calculateur!HC197*Calculateur!HE197*VLOOKUP('Données projet'!$B$18,Paramètres!$A$1:$I$89,3,0)*0.475*44/12</f>
        <v>0</v>
      </c>
      <c r="HI197" s="23">
        <f>EXP(-LN(2)/2)*HI196+(1-EXP(-LN(2)/2))/(LN(2)/2)*HC197*HF197*VLOOKUP('Données projet'!$B$18,Paramètres!$A$1:$I$89,3,0)*0.475*44/12</f>
        <v>0</v>
      </c>
      <c r="HJ197" s="24">
        <f t="shared" si="190"/>
        <v>0</v>
      </c>
    </row>
    <row r="198" spans="1:218" x14ac:dyDescent="0.3">
      <c r="A198" s="11">
        <f t="shared" si="161"/>
        <v>195</v>
      </c>
      <c r="B198" s="76">
        <f>'Scénario référence'!$B$16*5+'Scénario référence'!$B$17*0+'Scénario référence'!$B$18*5</f>
        <v>3.9405000000000001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14.448500000000001</v>
      </c>
      <c r="H198" s="69">
        <f t="shared" si="192"/>
        <v>161.30656666666667</v>
      </c>
      <c r="I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69.012959427887111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210.54472399593521</v>
      </c>
      <c r="T198" s="62">
        <f t="shared" si="204"/>
        <v>181.14158435194193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69.012959427887111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289.05608923588198</v>
      </c>
      <c r="AO198" s="62">
        <f t="shared" si="205"/>
        <v>220.06639020312738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69.012959427887111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projet'!$B$11,Paramètres!$A$1:$I$89,3,0)*VLOOKUP('Données projet'!$B$11,Paramètres!$A$1:$I$89,5,0)</f>
        <v>0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299.54950406029354</v>
      </c>
      <c r="BJ198" s="62">
        <f t="shared" si="206"/>
        <v>208.26364698165739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69.012959427887111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>
        <f>BY198*VLOOKUP('Données projet'!$B$12,Paramètres!$A$1:$I$89,3,0)*VLOOKUP('Données projet'!$B$12,Paramètres!$A$1:$I$89,5,0)</f>
        <v>0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441.30518831297212</v>
      </c>
      <c r="CE198" s="62">
        <f t="shared" si="207"/>
        <v>270.42872405271851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69.012959427887111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-1.1368683772161603E-13</v>
      </c>
      <c r="CU198" s="18">
        <f>CT198*VLOOKUP('Données projet'!$B$13,Paramètres!$A$1:$I$89,3,0)*VLOOKUP('Données projet'!$B$13,Paramètres!$A$1:$I$89,5,0)</f>
        <v>-9.9316821433603781E-14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310.81258463659196</v>
      </c>
      <c r="CZ198" s="62">
        <f t="shared" si="208"/>
        <v>287.31099756692083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69.012959427887111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>
        <f>DO198*VLOOKUP('Données projet'!$B$14,Paramètres!$A$1:$I$89,3,0)*VLOOKUP('Données projet'!$B$14,Paramètres!$A$1:$I$89,5,0)</f>
        <v>0</v>
      </c>
      <c r="DQ198" s="14" t="e">
        <f t="shared" si="176"/>
        <v>#NUM!</v>
      </c>
      <c r="DR198" s="22" t="e">
        <f t="shared" si="177"/>
        <v>#NUM!</v>
      </c>
      <c r="DS198" s="62" t="e">
        <f t="shared" si="197"/>
        <v>#NUM!</v>
      </c>
      <c r="DT198" s="62">
        <f ca="1">AVERAGE(OFFSET($DS$3,0,0,'Données projet'!$E$14+1,1))-AVERAGE(OFFSET($H$3,0,0,'Données projet'!$E$14+1,1))</f>
        <v>431.19274104373625</v>
      </c>
      <c r="DU198" s="62">
        <f t="shared" si="209"/>
        <v>264.67919175178133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69.012959427887111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-6.2527760746888816E-13</v>
      </c>
      <c r="EK198" s="18">
        <f>EJ198*VLOOKUP('Données projet'!$B$15,Paramètres!$A$1:$I$89,3,0)*VLOOKUP('Données projet'!$B$15,Paramètres!$A$1:$I$89,5,0)</f>
        <v>-2.9262992029543964E-13</v>
      </c>
      <c r="EL198" s="14" t="e">
        <f t="shared" si="179"/>
        <v>#NUM!</v>
      </c>
      <c r="EM198" s="22" t="e">
        <f t="shared" si="180"/>
        <v>#NUM!</v>
      </c>
      <c r="EN198" s="62" t="e">
        <f t="shared" si="198"/>
        <v>#NUM!</v>
      </c>
      <c r="EO198" s="62">
        <f ca="1">AVERAGE(OFFSET($EN$3,0,0,'Données projet'!$E$15+1,1))-AVERAGE(OFFSET($H$3,0,0,'Données projet'!$E$15+1,1))</f>
        <v>291.68530745507815</v>
      </c>
      <c r="EP198" s="62">
        <f t="shared" si="210"/>
        <v>175.95121106728979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0</v>
      </c>
      <c r="EZ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69.012959427887111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-1.1368683772161603E-13</v>
      </c>
      <c r="FF198" s="18">
        <f>FE198*VLOOKUP('Données projet'!$B$16,Paramètres!$A$1:$I$89,3,0)*VLOOKUP('Données projet'!$B$16,Paramètres!$A$1:$I$89,5,0)</f>
        <v>-7.4487616075202823E-14</v>
      </c>
      <c r="FG198" s="14" t="e">
        <f t="shared" si="182"/>
        <v>#NUM!</v>
      </c>
      <c r="FH198" s="22" t="e">
        <f t="shared" si="183"/>
        <v>#NUM!</v>
      </c>
      <c r="FI198" s="62" t="e">
        <f t="shared" si="199"/>
        <v>#NUM!</v>
      </c>
      <c r="FJ198" s="62">
        <f ca="1">AVERAGE(OFFSET($FI$3,0,0,'Données projet'!$E$16+1,1))-AVERAGE(OFFSET($H$3,0,0,'Données projet'!$E$16+1,1))</f>
        <v>248.75689726928428</v>
      </c>
      <c r="FK198" s="62">
        <f t="shared" si="211"/>
        <v>232.02291680388336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projet'!$B$16,Paramètres!$A$1:$I$89,3,0)*0.475*44/12</f>
        <v>0</v>
      </c>
      <c r="FR198" s="23">
        <f>EXP(-LN(2)/25)*FR197+(1-EXP(-LN(2)/25))/(LN(2)/25)*Calculateur!FM198*Calculateur!FO198*VLOOKUP('Données projet'!$B$16,Paramètres!$A$1:$I$89,3,0)*0.475*44/12</f>
        <v>0</v>
      </c>
      <c r="FS198" s="23">
        <f>EXP(-LN(2)/2)*FS197+(1-EXP(-LN(2)/2))/(LN(2)/2)*FM198*FP198*VLOOKUP('Données projet'!$B$16,Paramètres!$A$1:$I$89,3,0)*0.475*44/12</f>
        <v>0</v>
      </c>
      <c r="FT198" s="24">
        <f t="shared" si="184"/>
        <v>0</v>
      </c>
      <c r="FU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69.012959427887111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5.1159076974727213E-13</v>
      </c>
      <c r="GA198" s="18">
        <f>FZ198*VLOOKUP('Données projet'!$B$17,Paramètres!$A$1:$I$89,3,0)*VLOOKUP('Données projet'!$B$17,Paramètres!$A$1:$I$89,5,0)</f>
        <v>3.0593128030886877E-13</v>
      </c>
      <c r="GB198" s="14">
        <f t="shared" si="185"/>
        <v>4.0350537939347394E-12</v>
      </c>
      <c r="GC198" s="22">
        <f t="shared" si="186"/>
        <v>7.5605490043076185E-12</v>
      </c>
      <c r="GD198" s="62">
        <f t="shared" si="200"/>
        <v>289.71418456892695</v>
      </c>
      <c r="GE198" s="62">
        <f ca="1">AVERAGE(OFFSET($GD$3,0,0,'Données projet'!$E$17+1,1))-AVERAGE(OFFSET($H$3,0,0,'Données projet'!$E$17+1,1))</f>
        <v>315.909549580511</v>
      </c>
      <c r="GF198" s="62">
        <f t="shared" si="212"/>
        <v>208.56856525402051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projet'!$B$17,Paramètres!$A$1:$I$89,3,0)*0.475*44/12</f>
        <v>0</v>
      </c>
      <c r="GM198" s="23">
        <f>EXP(-LN(2)/25)*GM197+(1-EXP(-LN(2)/25))/(LN(2)/25)*Calculateur!GH198*Calculateur!GJ198*VLOOKUP('Données projet'!$B$17,Paramètres!$A$1:$I$89,3,0)*0.475*44/12</f>
        <v>0</v>
      </c>
      <c r="GN198" s="23">
        <f>EXP(-LN(2)/2)*GN197+(1-EXP(-LN(2)/2))/(LN(2)/2)*GH198*GK198*VLOOKUP('Données projet'!$B$17,Paramètres!$A$1:$I$89,3,0)*0.475*44/12</f>
        <v>0</v>
      </c>
      <c r="GO198" s="23">
        <f t="shared" si="187"/>
        <v>0</v>
      </c>
      <c r="GP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69.012959427887111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1.1368683772161603E-13</v>
      </c>
      <c r="GV198" s="18">
        <f>GU198*VLOOKUP('Données projet'!$B$18,Paramètres!$A$1:$I$89,3,0)*VLOOKUP('Données projet'!$B$18,Paramètres!$A$1:$I$89,5,0)</f>
        <v>7.626113074366004E-14</v>
      </c>
      <c r="GW198" s="14">
        <f t="shared" si="188"/>
        <v>1.1823749172251317E-12</v>
      </c>
      <c r="GX198" s="22">
        <f t="shared" si="189"/>
        <v>2.1921244502123119E-12</v>
      </c>
      <c r="GY198" s="62">
        <f t="shared" si="201"/>
        <v>289.71418456892161</v>
      </c>
      <c r="GZ198" s="62">
        <f ca="1">AVERAGE(OFFSET($GY$3,0,0,'Données projet'!$E$18+1,1))-AVERAGE(OFFSET($H$3,0,0,'Données projet'!$E$18+1,1))</f>
        <v>254.35742752782755</v>
      </c>
      <c r="HA198" s="62">
        <f t="shared" si="213"/>
        <v>171.79611712137395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>
        <f>EXP(-LN(2)/35)*HG197+(1-EXP(-LN(2)/35))/(LN(2)/35)*HC198*HD198*VLOOKUP('Données projet'!$B$18,Paramètres!$A$1:$I$89,3,0)*0.475*44/12</f>
        <v>0</v>
      </c>
      <c r="HH198" s="23">
        <f>EXP(-LN(2)/25)*HH197+(1-EXP(-LN(2)/25))/(LN(2)/25)*Calculateur!HC198*Calculateur!HE198*VLOOKUP('Données projet'!$B$18,Paramètres!$A$1:$I$89,3,0)*0.475*44/12</f>
        <v>0</v>
      </c>
      <c r="HI198" s="23">
        <f>EXP(-LN(2)/2)*HI197+(1-EXP(-LN(2)/2))/(LN(2)/2)*HC198*HF198*VLOOKUP('Données projet'!$B$18,Paramètres!$A$1:$I$89,3,0)*0.475*44/12</f>
        <v>0</v>
      </c>
      <c r="HJ198" s="24">
        <f t="shared" si="190"/>
        <v>0</v>
      </c>
    </row>
    <row r="199" spans="1:218" x14ac:dyDescent="0.3">
      <c r="A199" s="11">
        <f t="shared" si="161"/>
        <v>196</v>
      </c>
      <c r="B199" s="76">
        <f>'Scénario référence'!$B$16*5+'Scénario référence'!$B$17*0+'Scénario référence'!$B$18*5</f>
        <v>3.9405000000000001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14.448500000000001</v>
      </c>
      <c r="H199" s="69">
        <f t="shared" si="192"/>
        <v>161.30656666666667</v>
      </c>
      <c r="I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69.03008237512114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210.54472399593521</v>
      </c>
      <c r="T199" s="62">
        <f t="shared" si="204"/>
        <v>181.14158435194193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69.03008237512114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289.05608923588198</v>
      </c>
      <c r="AO199" s="62">
        <f t="shared" si="205"/>
        <v>220.06639020312738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69.03008237512114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projet'!$B$11,Paramètres!$A$1:$I$89,3,0)*VLOOKUP('Données projet'!$B$11,Paramètres!$A$1:$I$89,5,0)</f>
        <v>0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299.54950406029354</v>
      </c>
      <c r="BJ199" s="62">
        <f t="shared" si="206"/>
        <v>208.26364698165739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69.03008237512114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>
        <f>BY199*VLOOKUP('Données projet'!$B$12,Paramètres!$A$1:$I$89,3,0)*VLOOKUP('Données projet'!$B$12,Paramètres!$A$1:$I$89,5,0)</f>
        <v>0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441.30518831297212</v>
      </c>
      <c r="CE199" s="62">
        <f t="shared" si="207"/>
        <v>270.42872405271851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69.03008237512114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-1.1368683772161603E-13</v>
      </c>
      <c r="CU199" s="18">
        <f>CT199*VLOOKUP('Données projet'!$B$13,Paramètres!$A$1:$I$89,3,0)*VLOOKUP('Données projet'!$B$13,Paramètres!$A$1:$I$89,5,0)</f>
        <v>-9.9316821433603781E-14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310.81258463659196</v>
      </c>
      <c r="CZ199" s="62">
        <f t="shared" si="208"/>
        <v>287.31099756692083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69.03008237512114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>
        <f>DO199*VLOOKUP('Données projet'!$B$14,Paramètres!$A$1:$I$89,3,0)*VLOOKUP('Données projet'!$B$14,Paramètres!$A$1:$I$89,5,0)</f>
        <v>0</v>
      </c>
      <c r="DQ199" s="14" t="e">
        <f t="shared" si="176"/>
        <v>#NUM!</v>
      </c>
      <c r="DR199" s="22" t="e">
        <f t="shared" si="177"/>
        <v>#NUM!</v>
      </c>
      <c r="DS199" s="62" t="e">
        <f t="shared" si="197"/>
        <v>#NUM!</v>
      </c>
      <c r="DT199" s="62">
        <f ca="1">AVERAGE(OFFSET($DS$3,0,0,'Données projet'!$E$14+1,1))-AVERAGE(OFFSET($H$3,0,0,'Données projet'!$E$14+1,1))</f>
        <v>431.19274104373625</v>
      </c>
      <c r="DU199" s="62">
        <f t="shared" si="209"/>
        <v>264.67919175178133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69.03008237512114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-6.2527760746888816E-13</v>
      </c>
      <c r="EK199" s="18">
        <f>EJ199*VLOOKUP('Données projet'!$B$15,Paramètres!$A$1:$I$89,3,0)*VLOOKUP('Données projet'!$B$15,Paramètres!$A$1:$I$89,5,0)</f>
        <v>-2.9262992029543964E-13</v>
      </c>
      <c r="EL199" s="14" t="e">
        <f t="shared" si="179"/>
        <v>#NUM!</v>
      </c>
      <c r="EM199" s="22" t="e">
        <f t="shared" si="180"/>
        <v>#NUM!</v>
      </c>
      <c r="EN199" s="62" t="e">
        <f t="shared" si="198"/>
        <v>#NUM!</v>
      </c>
      <c r="EO199" s="62">
        <f ca="1">AVERAGE(OFFSET($EN$3,0,0,'Données projet'!$E$15+1,1))-AVERAGE(OFFSET($H$3,0,0,'Données projet'!$E$15+1,1))</f>
        <v>291.68530745507815</v>
      </c>
      <c r="EP199" s="62">
        <f t="shared" si="210"/>
        <v>175.95121106728979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0</v>
      </c>
      <c r="EZ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69.03008237512114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-1.1368683772161603E-13</v>
      </c>
      <c r="FF199" s="18">
        <f>FE199*VLOOKUP('Données projet'!$B$16,Paramètres!$A$1:$I$89,3,0)*VLOOKUP('Données projet'!$B$16,Paramètres!$A$1:$I$89,5,0)</f>
        <v>-7.4487616075202823E-14</v>
      </c>
      <c r="FG199" s="14" t="e">
        <f t="shared" si="182"/>
        <v>#NUM!</v>
      </c>
      <c r="FH199" s="22" t="e">
        <f t="shared" si="183"/>
        <v>#NUM!</v>
      </c>
      <c r="FI199" s="62" t="e">
        <f t="shared" si="199"/>
        <v>#NUM!</v>
      </c>
      <c r="FJ199" s="62">
        <f ca="1">AVERAGE(OFFSET($FI$3,0,0,'Données projet'!$E$16+1,1))-AVERAGE(OFFSET($H$3,0,0,'Données projet'!$E$16+1,1))</f>
        <v>248.75689726928428</v>
      </c>
      <c r="FK199" s="62">
        <f t="shared" si="211"/>
        <v>232.02291680388336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projet'!$B$16,Paramètres!$A$1:$I$89,3,0)*0.475*44/12</f>
        <v>0</v>
      </c>
      <c r="FR199" s="23">
        <f>EXP(-LN(2)/25)*FR198+(1-EXP(-LN(2)/25))/(LN(2)/25)*Calculateur!FM199*Calculateur!FO199*VLOOKUP('Données projet'!$B$16,Paramètres!$A$1:$I$89,3,0)*0.475*44/12</f>
        <v>0</v>
      </c>
      <c r="FS199" s="23">
        <f>EXP(-LN(2)/2)*FS198+(1-EXP(-LN(2)/2))/(LN(2)/2)*FM199*FP199*VLOOKUP('Données projet'!$B$16,Paramètres!$A$1:$I$89,3,0)*0.475*44/12</f>
        <v>0</v>
      </c>
      <c r="FT199" s="24">
        <f t="shared" si="184"/>
        <v>0</v>
      </c>
      <c r="FU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69.03008237512114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5.1159076974727213E-13</v>
      </c>
      <c r="GA199" s="18">
        <f>FZ199*VLOOKUP('Données projet'!$B$17,Paramètres!$A$1:$I$89,3,0)*VLOOKUP('Données projet'!$B$17,Paramètres!$A$1:$I$89,5,0)</f>
        <v>3.0593128030886877E-13</v>
      </c>
      <c r="GB199" s="14">
        <f t="shared" si="185"/>
        <v>4.0350537939347394E-12</v>
      </c>
      <c r="GC199" s="22">
        <f t="shared" si="186"/>
        <v>7.5605490043076185E-12</v>
      </c>
      <c r="GD199" s="62">
        <f t="shared" si="200"/>
        <v>289.77696870878509</v>
      </c>
      <c r="GE199" s="62">
        <f ca="1">AVERAGE(OFFSET($GD$3,0,0,'Données projet'!$E$17+1,1))-AVERAGE(OFFSET($H$3,0,0,'Données projet'!$E$17+1,1))</f>
        <v>315.909549580511</v>
      </c>
      <c r="GF199" s="62">
        <f t="shared" si="212"/>
        <v>208.56856525402051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projet'!$B$17,Paramètres!$A$1:$I$89,3,0)*0.475*44/12</f>
        <v>0</v>
      </c>
      <c r="GM199" s="23">
        <f>EXP(-LN(2)/25)*GM198+(1-EXP(-LN(2)/25))/(LN(2)/25)*Calculateur!GH199*Calculateur!GJ199*VLOOKUP('Données projet'!$B$17,Paramètres!$A$1:$I$89,3,0)*0.475*44/12</f>
        <v>0</v>
      </c>
      <c r="GN199" s="23">
        <f>EXP(-LN(2)/2)*GN198+(1-EXP(-LN(2)/2))/(LN(2)/2)*GH199*GK199*VLOOKUP('Données projet'!$B$17,Paramètres!$A$1:$I$89,3,0)*0.475*44/12</f>
        <v>0</v>
      </c>
      <c r="GO199" s="23">
        <f t="shared" si="187"/>
        <v>0</v>
      </c>
      <c r="GP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69.03008237512114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1.1368683772161603E-13</v>
      </c>
      <c r="GV199" s="18">
        <f>GU199*VLOOKUP('Données projet'!$B$18,Paramètres!$A$1:$I$89,3,0)*VLOOKUP('Données projet'!$B$18,Paramètres!$A$1:$I$89,5,0)</f>
        <v>7.626113074366004E-14</v>
      </c>
      <c r="GW199" s="14">
        <f t="shared" si="188"/>
        <v>1.1823749172251317E-12</v>
      </c>
      <c r="GX199" s="22">
        <f t="shared" si="189"/>
        <v>2.1921244502123119E-12</v>
      </c>
      <c r="GY199" s="62">
        <f t="shared" si="201"/>
        <v>289.77696870877975</v>
      </c>
      <c r="GZ199" s="62">
        <f ca="1">AVERAGE(OFFSET($GY$3,0,0,'Données projet'!$E$18+1,1))-AVERAGE(OFFSET($H$3,0,0,'Données projet'!$E$18+1,1))</f>
        <v>254.35742752782755</v>
      </c>
      <c r="HA199" s="62">
        <f t="shared" si="213"/>
        <v>171.79611712137395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>
        <f>EXP(-LN(2)/35)*HG198+(1-EXP(-LN(2)/35))/(LN(2)/35)*HC199*HD199*VLOOKUP('Données projet'!$B$18,Paramètres!$A$1:$I$89,3,0)*0.475*44/12</f>
        <v>0</v>
      </c>
      <c r="HH199" s="23">
        <f>EXP(-LN(2)/25)*HH198+(1-EXP(-LN(2)/25))/(LN(2)/25)*Calculateur!HC199*Calculateur!HE199*VLOOKUP('Données projet'!$B$18,Paramètres!$A$1:$I$89,3,0)*0.475*44/12</f>
        <v>0</v>
      </c>
      <c r="HI199" s="23">
        <f>EXP(-LN(2)/2)*HI198+(1-EXP(-LN(2)/2))/(LN(2)/2)*HC199*HF199*VLOOKUP('Données projet'!$B$18,Paramètres!$A$1:$I$89,3,0)*0.475*44/12</f>
        <v>0</v>
      </c>
      <c r="HJ199" s="24">
        <f t="shared" si="190"/>
        <v>0</v>
      </c>
    </row>
    <row r="200" spans="1:218" x14ac:dyDescent="0.3">
      <c r="A200" s="11">
        <f t="shared" si="161"/>
        <v>197</v>
      </c>
      <c r="B200" s="76">
        <f>'Scénario référence'!$B$16*5+'Scénario référence'!$B$17*0+'Scénario référence'!$B$18*5</f>
        <v>3.9405000000000001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14.448500000000001</v>
      </c>
      <c r="H200" s="69">
        <f t="shared" si="192"/>
        <v>161.30656666666667</v>
      </c>
      <c r="I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69.046908277501828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210.54472399593521</v>
      </c>
      <c r="T200" s="62">
        <f t="shared" si="204"/>
        <v>181.14158435194193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69.046908277501828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289.05608923588198</v>
      </c>
      <c r="AO200" s="62">
        <f t="shared" si="205"/>
        <v>220.06639020312738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69.046908277501828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projet'!$B$11,Paramètres!$A$1:$I$89,3,0)*VLOOKUP('Données projet'!$B$11,Paramètres!$A$1:$I$89,5,0)</f>
        <v>0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299.54950406029354</v>
      </c>
      <c r="BJ200" s="62">
        <f t="shared" si="206"/>
        <v>208.26364698165739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69.046908277501828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>
        <f>BY200*VLOOKUP('Données projet'!$B$12,Paramètres!$A$1:$I$89,3,0)*VLOOKUP('Données projet'!$B$12,Paramètres!$A$1:$I$89,5,0)</f>
        <v>0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441.30518831297212</v>
      </c>
      <c r="CE200" s="62">
        <f t="shared" si="207"/>
        <v>270.42872405271851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69.046908277501828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-1.1368683772161603E-13</v>
      </c>
      <c r="CU200" s="18">
        <f>CT200*VLOOKUP('Données projet'!$B$13,Paramètres!$A$1:$I$89,3,0)*VLOOKUP('Données projet'!$B$13,Paramètres!$A$1:$I$89,5,0)</f>
        <v>-9.9316821433603781E-14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310.81258463659196</v>
      </c>
      <c r="CZ200" s="62">
        <f t="shared" si="208"/>
        <v>287.31099756692083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69.046908277501828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>
        <f>DO200*VLOOKUP('Données projet'!$B$14,Paramètres!$A$1:$I$89,3,0)*VLOOKUP('Données projet'!$B$14,Paramètres!$A$1:$I$89,5,0)</f>
        <v>0</v>
      </c>
      <c r="DQ200" s="14" t="e">
        <f t="shared" si="176"/>
        <v>#NUM!</v>
      </c>
      <c r="DR200" s="22" t="e">
        <f t="shared" si="177"/>
        <v>#NUM!</v>
      </c>
      <c r="DS200" s="62" t="e">
        <f t="shared" si="197"/>
        <v>#NUM!</v>
      </c>
      <c r="DT200" s="62">
        <f ca="1">AVERAGE(OFFSET($DS$3,0,0,'Données projet'!$E$14+1,1))-AVERAGE(OFFSET($H$3,0,0,'Données projet'!$E$14+1,1))</f>
        <v>431.19274104373625</v>
      </c>
      <c r="DU200" s="62">
        <f t="shared" si="209"/>
        <v>264.67919175178133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69.046908277501828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-6.2527760746888816E-13</v>
      </c>
      <c r="EK200" s="18">
        <f>EJ200*VLOOKUP('Données projet'!$B$15,Paramètres!$A$1:$I$89,3,0)*VLOOKUP('Données projet'!$B$15,Paramètres!$A$1:$I$89,5,0)</f>
        <v>-2.9262992029543964E-13</v>
      </c>
      <c r="EL200" s="14" t="e">
        <f t="shared" si="179"/>
        <v>#NUM!</v>
      </c>
      <c r="EM200" s="22" t="e">
        <f t="shared" si="180"/>
        <v>#NUM!</v>
      </c>
      <c r="EN200" s="62" t="e">
        <f t="shared" si="198"/>
        <v>#NUM!</v>
      </c>
      <c r="EO200" s="62">
        <f ca="1">AVERAGE(OFFSET($EN$3,0,0,'Données projet'!$E$15+1,1))-AVERAGE(OFFSET($H$3,0,0,'Données projet'!$E$15+1,1))</f>
        <v>291.68530745507815</v>
      </c>
      <c r="EP200" s="62">
        <f t="shared" si="210"/>
        <v>175.95121106728979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0</v>
      </c>
      <c r="EZ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69.046908277501828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-1.1368683772161603E-13</v>
      </c>
      <c r="FF200" s="18">
        <f>FE200*VLOOKUP('Données projet'!$B$16,Paramètres!$A$1:$I$89,3,0)*VLOOKUP('Données projet'!$B$16,Paramètres!$A$1:$I$89,5,0)</f>
        <v>-7.4487616075202823E-14</v>
      </c>
      <c r="FG200" s="14" t="e">
        <f t="shared" si="182"/>
        <v>#NUM!</v>
      </c>
      <c r="FH200" s="22" t="e">
        <f t="shared" si="183"/>
        <v>#NUM!</v>
      </c>
      <c r="FI200" s="62" t="e">
        <f t="shared" si="199"/>
        <v>#NUM!</v>
      </c>
      <c r="FJ200" s="62">
        <f ca="1">AVERAGE(OFFSET($FI$3,0,0,'Données projet'!$E$16+1,1))-AVERAGE(OFFSET($H$3,0,0,'Données projet'!$E$16+1,1))</f>
        <v>248.75689726928428</v>
      </c>
      <c r="FK200" s="62">
        <f t="shared" si="211"/>
        <v>232.02291680388336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projet'!$B$16,Paramètres!$A$1:$I$89,3,0)*0.475*44/12</f>
        <v>0</v>
      </c>
      <c r="FR200" s="23">
        <f>EXP(-LN(2)/25)*FR199+(1-EXP(-LN(2)/25))/(LN(2)/25)*Calculateur!FM200*Calculateur!FO200*VLOOKUP('Données projet'!$B$16,Paramètres!$A$1:$I$89,3,0)*0.475*44/12</f>
        <v>0</v>
      </c>
      <c r="FS200" s="23">
        <f>EXP(-LN(2)/2)*FS199+(1-EXP(-LN(2)/2))/(LN(2)/2)*FM200*FP200*VLOOKUP('Données projet'!$B$16,Paramètres!$A$1:$I$89,3,0)*0.475*44/12</f>
        <v>0</v>
      </c>
      <c r="FT200" s="24">
        <f t="shared" si="184"/>
        <v>0</v>
      </c>
      <c r="FU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69.046908277501828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5.1159076974727213E-13</v>
      </c>
      <c r="GA200" s="18">
        <f>FZ200*VLOOKUP('Données projet'!$B$17,Paramètres!$A$1:$I$89,3,0)*VLOOKUP('Données projet'!$B$17,Paramètres!$A$1:$I$89,5,0)</f>
        <v>3.0593128030886877E-13</v>
      </c>
      <c r="GB200" s="14">
        <f t="shared" si="185"/>
        <v>4.0350537939347394E-12</v>
      </c>
      <c r="GC200" s="22">
        <f t="shared" si="186"/>
        <v>7.5605490043076185E-12</v>
      </c>
      <c r="GD200" s="62">
        <f t="shared" si="200"/>
        <v>289.83866368418091</v>
      </c>
      <c r="GE200" s="62">
        <f ca="1">AVERAGE(OFFSET($GD$3,0,0,'Données projet'!$E$17+1,1))-AVERAGE(OFFSET($H$3,0,0,'Données projet'!$E$17+1,1))</f>
        <v>315.909549580511</v>
      </c>
      <c r="GF200" s="62">
        <f t="shared" si="212"/>
        <v>208.56856525402051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projet'!$B$17,Paramètres!$A$1:$I$89,3,0)*0.475*44/12</f>
        <v>0</v>
      </c>
      <c r="GM200" s="23">
        <f>EXP(-LN(2)/25)*GM199+(1-EXP(-LN(2)/25))/(LN(2)/25)*Calculateur!GH200*Calculateur!GJ200*VLOOKUP('Données projet'!$B$17,Paramètres!$A$1:$I$89,3,0)*0.475*44/12</f>
        <v>0</v>
      </c>
      <c r="GN200" s="23">
        <f>EXP(-LN(2)/2)*GN199+(1-EXP(-LN(2)/2))/(LN(2)/2)*GH200*GK200*VLOOKUP('Données projet'!$B$17,Paramètres!$A$1:$I$89,3,0)*0.475*44/12</f>
        <v>0</v>
      </c>
      <c r="GO200" s="23">
        <f t="shared" si="187"/>
        <v>0</v>
      </c>
      <c r="GP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69.046908277501828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1.1368683772161603E-13</v>
      </c>
      <c r="GV200" s="18">
        <f>GU200*VLOOKUP('Données projet'!$B$18,Paramètres!$A$1:$I$89,3,0)*VLOOKUP('Données projet'!$B$18,Paramètres!$A$1:$I$89,5,0)</f>
        <v>7.626113074366004E-14</v>
      </c>
      <c r="GW200" s="14">
        <f t="shared" si="188"/>
        <v>1.1823749172251317E-12</v>
      </c>
      <c r="GX200" s="22">
        <f t="shared" si="189"/>
        <v>2.1921244502123119E-12</v>
      </c>
      <c r="GY200" s="62">
        <f t="shared" si="201"/>
        <v>289.83866368417557</v>
      </c>
      <c r="GZ200" s="62">
        <f ca="1">AVERAGE(OFFSET($GY$3,0,0,'Données projet'!$E$18+1,1))-AVERAGE(OFFSET($H$3,0,0,'Données projet'!$E$18+1,1))</f>
        <v>254.35742752782755</v>
      </c>
      <c r="HA200" s="62">
        <f t="shared" si="213"/>
        <v>171.79611712137395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>
        <f>EXP(-LN(2)/35)*HG199+(1-EXP(-LN(2)/35))/(LN(2)/35)*HC200*HD200*VLOOKUP('Données projet'!$B$18,Paramètres!$A$1:$I$89,3,0)*0.475*44/12</f>
        <v>0</v>
      </c>
      <c r="HH200" s="23">
        <f>EXP(-LN(2)/25)*HH199+(1-EXP(-LN(2)/25))/(LN(2)/25)*Calculateur!HC200*Calculateur!HE200*VLOOKUP('Données projet'!$B$18,Paramètres!$A$1:$I$89,3,0)*0.475*44/12</f>
        <v>0</v>
      </c>
      <c r="HI200" s="23">
        <f>EXP(-LN(2)/2)*HI199+(1-EXP(-LN(2)/2))/(LN(2)/2)*HC200*HF200*VLOOKUP('Données projet'!$B$18,Paramètres!$A$1:$I$89,3,0)*0.475*44/12</f>
        <v>0</v>
      </c>
      <c r="HJ200" s="24">
        <f t="shared" si="190"/>
        <v>0</v>
      </c>
    </row>
    <row r="201" spans="1:218" x14ac:dyDescent="0.3">
      <c r="A201" s="11">
        <f>A200+1</f>
        <v>198</v>
      </c>
      <c r="B201" s="76">
        <f>'Scénario référence'!$B$16*5+'Scénario référence'!$B$17*0+'Scénario référence'!$B$18*5</f>
        <v>3.9405000000000001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14.448500000000001</v>
      </c>
      <c r="H201" s="69">
        <f t="shared" si="192"/>
        <v>161.30656666666667</v>
      </c>
      <c r="I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69.063442288093299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210.54472399593521</v>
      </c>
      <c r="T201" s="62">
        <f t="shared" si="204"/>
        <v>181.14158435194193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69.063442288093299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289.05608923588198</v>
      </c>
      <c r="AO201" s="62">
        <f t="shared" si="205"/>
        <v>220.06639020312738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69.063442288093299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projet'!$B$11,Paramètres!$A$1:$I$89,3,0)*VLOOKUP('Données projet'!$B$11,Paramètres!$A$1:$I$89,5,0)</f>
        <v>0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299.54950406029354</v>
      </c>
      <c r="BJ201" s="62">
        <f t="shared" si="206"/>
        <v>208.26364698165739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69.063442288093299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>
        <f>BY201*VLOOKUP('Données projet'!$B$12,Paramètres!$A$1:$I$89,3,0)*VLOOKUP('Données projet'!$B$12,Paramètres!$A$1:$I$89,5,0)</f>
        <v>0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441.30518831297212</v>
      </c>
      <c r="CE201" s="62">
        <f t="shared" si="207"/>
        <v>270.42872405271851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69.063442288093299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-1.1368683772161603E-13</v>
      </c>
      <c r="CU201" s="18">
        <f>CT201*VLOOKUP('Données projet'!$B$13,Paramètres!$A$1:$I$89,3,0)*VLOOKUP('Données projet'!$B$13,Paramètres!$A$1:$I$89,5,0)</f>
        <v>-9.9316821433603781E-14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310.81258463659196</v>
      </c>
      <c r="CZ201" s="62">
        <f t="shared" si="208"/>
        <v>287.31099756692083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69.063442288093299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>
        <f>DO201*VLOOKUP('Données projet'!$B$14,Paramètres!$A$1:$I$89,3,0)*VLOOKUP('Données projet'!$B$14,Paramètres!$A$1:$I$89,5,0)</f>
        <v>0</v>
      </c>
      <c r="DQ201" s="14" t="e">
        <f t="shared" si="176"/>
        <v>#NUM!</v>
      </c>
      <c r="DR201" s="22" t="e">
        <f t="shared" si="177"/>
        <v>#NUM!</v>
      </c>
      <c r="DS201" s="62" t="e">
        <f t="shared" si="197"/>
        <v>#NUM!</v>
      </c>
      <c r="DT201" s="62">
        <f ca="1">AVERAGE(OFFSET($DS$3,0,0,'Données projet'!$E$14+1,1))-AVERAGE(OFFSET($H$3,0,0,'Données projet'!$E$14+1,1))</f>
        <v>431.19274104373625</v>
      </c>
      <c r="DU201" s="62">
        <f t="shared" si="209"/>
        <v>264.67919175178133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69.063442288093299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-6.2527760746888816E-13</v>
      </c>
      <c r="EK201" s="18">
        <f>EJ201*VLOOKUP('Données projet'!$B$15,Paramètres!$A$1:$I$89,3,0)*VLOOKUP('Données projet'!$B$15,Paramètres!$A$1:$I$89,5,0)</f>
        <v>-2.9262992029543964E-13</v>
      </c>
      <c r="EL201" s="14" t="e">
        <f t="shared" si="179"/>
        <v>#NUM!</v>
      </c>
      <c r="EM201" s="22" t="e">
        <f t="shared" si="180"/>
        <v>#NUM!</v>
      </c>
      <c r="EN201" s="62" t="e">
        <f t="shared" si="198"/>
        <v>#NUM!</v>
      </c>
      <c r="EO201" s="62">
        <f ca="1">AVERAGE(OFFSET($EN$3,0,0,'Données projet'!$E$15+1,1))-AVERAGE(OFFSET($H$3,0,0,'Données projet'!$E$15+1,1))</f>
        <v>291.68530745507815</v>
      </c>
      <c r="EP201" s="62">
        <f t="shared" si="210"/>
        <v>175.95121106728979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0</v>
      </c>
      <c r="EZ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69.063442288093299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-1.1368683772161603E-13</v>
      </c>
      <c r="FF201" s="18">
        <f>FE201*VLOOKUP('Données projet'!$B$16,Paramètres!$A$1:$I$89,3,0)*VLOOKUP('Données projet'!$B$16,Paramètres!$A$1:$I$89,5,0)</f>
        <v>-7.4487616075202823E-14</v>
      </c>
      <c r="FG201" s="14" t="e">
        <f t="shared" si="182"/>
        <v>#NUM!</v>
      </c>
      <c r="FH201" s="22" t="e">
        <f t="shared" si="183"/>
        <v>#NUM!</v>
      </c>
      <c r="FI201" s="62" t="e">
        <f t="shared" si="199"/>
        <v>#NUM!</v>
      </c>
      <c r="FJ201" s="62">
        <f ca="1">AVERAGE(OFFSET($FI$3,0,0,'Données projet'!$E$16+1,1))-AVERAGE(OFFSET($H$3,0,0,'Données projet'!$E$16+1,1))</f>
        <v>248.75689726928428</v>
      </c>
      <c r="FK201" s="62">
        <f t="shared" si="211"/>
        <v>232.02291680388336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projet'!$B$16,Paramètres!$A$1:$I$89,3,0)*0.475*44/12</f>
        <v>0</v>
      </c>
      <c r="FR201" s="23">
        <f>EXP(-LN(2)/25)*FR200+(1-EXP(-LN(2)/25))/(LN(2)/25)*Calculateur!FM201*Calculateur!FO201*VLOOKUP('Données projet'!$B$16,Paramètres!$A$1:$I$89,3,0)*0.475*44/12</f>
        <v>0</v>
      </c>
      <c r="FS201" s="23">
        <f>EXP(-LN(2)/2)*FS200+(1-EXP(-LN(2)/2))/(LN(2)/2)*FM201*FP201*VLOOKUP('Données projet'!$B$16,Paramètres!$A$1:$I$89,3,0)*0.475*44/12</f>
        <v>0</v>
      </c>
      <c r="FT201" s="24">
        <f t="shared" si="184"/>
        <v>0</v>
      </c>
      <c r="FU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69.063442288093299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5.1159076974727213E-13</v>
      </c>
      <c r="GA201" s="18">
        <f>FZ201*VLOOKUP('Données projet'!$B$17,Paramètres!$A$1:$I$89,3,0)*VLOOKUP('Données projet'!$B$17,Paramètres!$A$1:$I$89,5,0)</f>
        <v>3.0593128030886877E-13</v>
      </c>
      <c r="GB201" s="14">
        <f t="shared" si="185"/>
        <v>4.0350537939347394E-12</v>
      </c>
      <c r="GC201" s="22">
        <f t="shared" si="186"/>
        <v>7.5605490043076185E-12</v>
      </c>
      <c r="GD201" s="62">
        <f t="shared" si="200"/>
        <v>289.89928838968297</v>
      </c>
      <c r="GE201" s="62">
        <f ca="1">AVERAGE(OFFSET($GD$3,0,0,'Données projet'!$E$17+1,1))-AVERAGE(OFFSET($H$3,0,0,'Données projet'!$E$17+1,1))</f>
        <v>315.909549580511</v>
      </c>
      <c r="GF201" s="62">
        <f t="shared" si="212"/>
        <v>208.56856525402051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projet'!$B$17,Paramètres!$A$1:$I$89,3,0)*0.475*44/12</f>
        <v>0</v>
      </c>
      <c r="GM201" s="23">
        <f>EXP(-LN(2)/25)*GM200+(1-EXP(-LN(2)/25))/(LN(2)/25)*Calculateur!GH201*Calculateur!GJ201*VLOOKUP('Données projet'!$B$17,Paramètres!$A$1:$I$89,3,0)*0.475*44/12</f>
        <v>0</v>
      </c>
      <c r="GN201" s="23">
        <f>EXP(-LN(2)/2)*GN200+(1-EXP(-LN(2)/2))/(LN(2)/2)*GH201*GK201*VLOOKUP('Données projet'!$B$17,Paramètres!$A$1:$I$89,3,0)*0.475*44/12</f>
        <v>0</v>
      </c>
      <c r="GO201" s="23">
        <f t="shared" si="187"/>
        <v>0</v>
      </c>
      <c r="GP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69.063442288093299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1.1368683772161603E-13</v>
      </c>
      <c r="GV201" s="18">
        <f>GU201*VLOOKUP('Données projet'!$B$18,Paramètres!$A$1:$I$89,3,0)*VLOOKUP('Données projet'!$B$18,Paramètres!$A$1:$I$89,5,0)</f>
        <v>7.626113074366004E-14</v>
      </c>
      <c r="GW201" s="14">
        <f t="shared" si="188"/>
        <v>1.1823749172251317E-12</v>
      </c>
      <c r="GX201" s="22">
        <f t="shared" si="189"/>
        <v>2.1921244502123119E-12</v>
      </c>
      <c r="GY201" s="62">
        <f t="shared" si="201"/>
        <v>289.89928838967762</v>
      </c>
      <c r="GZ201" s="62">
        <f ca="1">AVERAGE(OFFSET($GY$3,0,0,'Données projet'!$E$18+1,1))-AVERAGE(OFFSET($H$3,0,0,'Données projet'!$E$18+1,1))</f>
        <v>254.35742752782755</v>
      </c>
      <c r="HA201" s="62">
        <f t="shared" si="213"/>
        <v>171.79611712137395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>
        <f>EXP(-LN(2)/35)*HG200+(1-EXP(-LN(2)/35))/(LN(2)/35)*HC201*HD201*VLOOKUP('Données projet'!$B$18,Paramètres!$A$1:$I$89,3,0)*0.475*44/12</f>
        <v>0</v>
      </c>
      <c r="HH201" s="23">
        <f>EXP(-LN(2)/25)*HH200+(1-EXP(-LN(2)/25))/(LN(2)/25)*Calculateur!HC201*Calculateur!HE201*VLOOKUP('Données projet'!$B$18,Paramètres!$A$1:$I$89,3,0)*0.475*44/12</f>
        <v>0</v>
      </c>
      <c r="HI201" s="23">
        <f>EXP(-LN(2)/2)*HI200+(1-EXP(-LN(2)/2))/(LN(2)/2)*HC201*HF201*VLOOKUP('Données projet'!$B$18,Paramètres!$A$1:$I$89,3,0)*0.475*44/12</f>
        <v>0</v>
      </c>
      <c r="HJ201" s="24">
        <f t="shared" si="190"/>
        <v>0</v>
      </c>
    </row>
    <row r="202" spans="1:218" x14ac:dyDescent="0.3">
      <c r="A202" s="11">
        <f t="shared" si="161"/>
        <v>199</v>
      </c>
      <c r="B202" s="76">
        <f>'Scénario référence'!$B$16*5+'Scénario référence'!$B$17*0+'Scénario référence'!$B$18*5</f>
        <v>3.9405000000000001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14.448500000000001</v>
      </c>
      <c r="H202" s="69">
        <f t="shared" si="192"/>
        <v>161.30656666666667</v>
      </c>
      <c r="I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69.079689470565512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210.54472399593521</v>
      </c>
      <c r="T202" s="62">
        <f t="shared" si="204"/>
        <v>181.14158435194193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69.079689470565512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289.05608923588198</v>
      </c>
      <c r="AO202" s="62">
        <f t="shared" si="205"/>
        <v>220.06639020312738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69.079689470565512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projet'!$B$11,Paramètres!$A$1:$I$89,3,0)*VLOOKUP('Données projet'!$B$11,Paramètres!$A$1:$I$89,5,0)</f>
        <v>0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299.54950406029354</v>
      </c>
      <c r="BJ202" s="62">
        <f t="shared" si="206"/>
        <v>208.26364698165739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69.079689470565512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>
        <f>BY202*VLOOKUP('Données projet'!$B$12,Paramètres!$A$1:$I$89,3,0)*VLOOKUP('Données projet'!$B$12,Paramètres!$A$1:$I$89,5,0)</f>
        <v>0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441.30518831297212</v>
      </c>
      <c r="CE202" s="62">
        <f t="shared" si="207"/>
        <v>270.42872405271851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69.079689470565512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-1.1368683772161603E-13</v>
      </c>
      <c r="CU202" s="18">
        <f>CT202*VLOOKUP('Données projet'!$B$13,Paramètres!$A$1:$I$89,3,0)*VLOOKUP('Données projet'!$B$13,Paramètres!$A$1:$I$89,5,0)</f>
        <v>-9.9316821433603781E-14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310.81258463659196</v>
      </c>
      <c r="CZ202" s="62">
        <f t="shared" si="208"/>
        <v>287.31099756692083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69.079689470565512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>
        <f>DO202*VLOOKUP('Données projet'!$B$14,Paramètres!$A$1:$I$89,3,0)*VLOOKUP('Données projet'!$B$14,Paramètres!$A$1:$I$89,5,0)</f>
        <v>0</v>
      </c>
      <c r="DQ202" s="14" t="e">
        <f t="shared" si="176"/>
        <v>#NUM!</v>
      </c>
      <c r="DR202" s="22" t="e">
        <f t="shared" si="177"/>
        <v>#NUM!</v>
      </c>
      <c r="DS202" s="62" t="e">
        <f t="shared" si="197"/>
        <v>#NUM!</v>
      </c>
      <c r="DT202" s="62">
        <f ca="1">AVERAGE(OFFSET($DS$3,0,0,'Données projet'!$E$14+1,1))-AVERAGE(OFFSET($H$3,0,0,'Données projet'!$E$14+1,1))</f>
        <v>431.19274104373625</v>
      </c>
      <c r="DU202" s="62">
        <f t="shared" si="209"/>
        <v>264.67919175178133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69.079689470565512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-6.2527760746888816E-13</v>
      </c>
      <c r="EK202" s="18">
        <f>EJ202*VLOOKUP('Données projet'!$B$15,Paramètres!$A$1:$I$89,3,0)*VLOOKUP('Données projet'!$B$15,Paramètres!$A$1:$I$89,5,0)</f>
        <v>-2.9262992029543964E-13</v>
      </c>
      <c r="EL202" s="14" t="e">
        <f t="shared" si="179"/>
        <v>#NUM!</v>
      </c>
      <c r="EM202" s="22" t="e">
        <f t="shared" si="180"/>
        <v>#NUM!</v>
      </c>
      <c r="EN202" s="62" t="e">
        <f t="shared" si="198"/>
        <v>#NUM!</v>
      </c>
      <c r="EO202" s="62">
        <f ca="1">AVERAGE(OFFSET($EN$3,0,0,'Données projet'!$E$15+1,1))-AVERAGE(OFFSET($H$3,0,0,'Données projet'!$E$15+1,1))</f>
        <v>291.68530745507815</v>
      </c>
      <c r="EP202" s="62">
        <f t="shared" si="210"/>
        <v>175.95121106728979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0</v>
      </c>
      <c r="EZ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69.079689470565512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-1.1368683772161603E-13</v>
      </c>
      <c r="FF202" s="18">
        <f>FE202*VLOOKUP('Données projet'!$B$16,Paramètres!$A$1:$I$89,3,0)*VLOOKUP('Données projet'!$B$16,Paramètres!$A$1:$I$89,5,0)</f>
        <v>-7.4487616075202823E-14</v>
      </c>
      <c r="FG202" s="14" t="e">
        <f t="shared" si="182"/>
        <v>#NUM!</v>
      </c>
      <c r="FH202" s="22" t="e">
        <f t="shared" si="183"/>
        <v>#NUM!</v>
      </c>
      <c r="FI202" s="62" t="e">
        <f t="shared" si="199"/>
        <v>#NUM!</v>
      </c>
      <c r="FJ202" s="62">
        <f ca="1">AVERAGE(OFFSET($FI$3,0,0,'Données projet'!$E$16+1,1))-AVERAGE(OFFSET($H$3,0,0,'Données projet'!$E$16+1,1))</f>
        <v>248.75689726928428</v>
      </c>
      <c r="FK202" s="62">
        <f t="shared" si="211"/>
        <v>232.02291680388336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projet'!$B$16,Paramètres!$A$1:$I$89,3,0)*0.475*44/12</f>
        <v>0</v>
      </c>
      <c r="FR202" s="23">
        <f>EXP(-LN(2)/25)*FR201+(1-EXP(-LN(2)/25))/(LN(2)/25)*Calculateur!FM202*Calculateur!FO202*VLOOKUP('Données projet'!$B$16,Paramètres!$A$1:$I$89,3,0)*0.475*44/12</f>
        <v>0</v>
      </c>
      <c r="FS202" s="23">
        <f>EXP(-LN(2)/2)*FS201+(1-EXP(-LN(2)/2))/(LN(2)/2)*FM202*FP202*VLOOKUP('Données projet'!$B$16,Paramètres!$A$1:$I$89,3,0)*0.475*44/12</f>
        <v>0</v>
      </c>
      <c r="FT202" s="24">
        <f t="shared" si="184"/>
        <v>0</v>
      </c>
      <c r="FU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69.079689470565512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5.1159076974727213E-13</v>
      </c>
      <c r="GA202" s="18">
        <f>FZ202*VLOOKUP('Données projet'!$B$17,Paramètres!$A$1:$I$89,3,0)*VLOOKUP('Données projet'!$B$17,Paramètres!$A$1:$I$89,5,0)</f>
        <v>3.0593128030886877E-13</v>
      </c>
      <c r="GB202" s="14">
        <f t="shared" si="185"/>
        <v>4.0350537939347394E-12</v>
      </c>
      <c r="GC202" s="22">
        <f t="shared" si="186"/>
        <v>7.5605490043076185E-12</v>
      </c>
      <c r="GD202" s="62">
        <f t="shared" si="200"/>
        <v>289.95886139208108</v>
      </c>
      <c r="GE202" s="62">
        <f ca="1">AVERAGE(OFFSET($GD$3,0,0,'Données projet'!$E$17+1,1))-AVERAGE(OFFSET($H$3,0,0,'Données projet'!$E$17+1,1))</f>
        <v>315.909549580511</v>
      </c>
      <c r="GF202" s="62">
        <f t="shared" si="212"/>
        <v>208.56856525402051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projet'!$B$17,Paramètres!$A$1:$I$89,3,0)*0.475*44/12</f>
        <v>0</v>
      </c>
      <c r="GM202" s="23">
        <f>EXP(-LN(2)/25)*GM201+(1-EXP(-LN(2)/25))/(LN(2)/25)*Calculateur!GH202*Calculateur!GJ202*VLOOKUP('Données projet'!$B$17,Paramètres!$A$1:$I$89,3,0)*0.475*44/12</f>
        <v>0</v>
      </c>
      <c r="GN202" s="23">
        <f>EXP(-LN(2)/2)*GN201+(1-EXP(-LN(2)/2))/(LN(2)/2)*GH202*GK202*VLOOKUP('Données projet'!$B$17,Paramètres!$A$1:$I$89,3,0)*0.475*44/12</f>
        <v>0</v>
      </c>
      <c r="GO202" s="23">
        <f t="shared" si="187"/>
        <v>0</v>
      </c>
      <c r="GP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69.079689470565512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1.1368683772161603E-13</v>
      </c>
      <c r="GV202" s="18">
        <f>GU202*VLOOKUP('Données projet'!$B$18,Paramètres!$A$1:$I$89,3,0)*VLOOKUP('Données projet'!$B$18,Paramètres!$A$1:$I$89,5,0)</f>
        <v>7.626113074366004E-14</v>
      </c>
      <c r="GW202" s="14">
        <f t="shared" si="188"/>
        <v>1.1823749172251317E-12</v>
      </c>
      <c r="GX202" s="22">
        <f t="shared" si="189"/>
        <v>2.1921244502123119E-12</v>
      </c>
      <c r="GY202" s="62">
        <f t="shared" si="201"/>
        <v>289.95886139207573</v>
      </c>
      <c r="GZ202" s="62">
        <f ca="1">AVERAGE(OFFSET($GY$3,0,0,'Données projet'!$E$18+1,1))-AVERAGE(OFFSET($H$3,0,0,'Données projet'!$E$18+1,1))</f>
        <v>254.35742752782755</v>
      </c>
      <c r="HA202" s="62">
        <f t="shared" si="213"/>
        <v>171.79611712137395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>
        <f>EXP(-LN(2)/35)*HG201+(1-EXP(-LN(2)/35))/(LN(2)/35)*HC202*HD202*VLOOKUP('Données projet'!$B$18,Paramètres!$A$1:$I$89,3,0)*0.475*44/12</f>
        <v>0</v>
      </c>
      <c r="HH202" s="23">
        <f>EXP(-LN(2)/25)*HH201+(1-EXP(-LN(2)/25))/(LN(2)/25)*Calculateur!HC202*Calculateur!HE202*VLOOKUP('Données projet'!$B$18,Paramètres!$A$1:$I$89,3,0)*0.475*44/12</f>
        <v>0</v>
      </c>
      <c r="HI202" s="23">
        <f>EXP(-LN(2)/2)*HI201+(1-EXP(-LN(2)/2))/(LN(2)/2)*HC202*HF202*VLOOKUP('Données projet'!$B$18,Paramètres!$A$1:$I$89,3,0)*0.475*44/12</f>
        <v>0</v>
      </c>
      <c r="HJ202" s="24">
        <f t="shared" si="190"/>
        <v>0</v>
      </c>
    </row>
    <row r="203" spans="1:218" ht="15" thickBot="1" x14ac:dyDescent="0.35">
      <c r="A203" s="11">
        <f>A202+1</f>
        <v>200</v>
      </c>
      <c r="B203" s="76">
        <f>'Scénario référence'!$B$16*5+'Scénario référence'!$B$17*0+'Scénario référence'!$B$18*5</f>
        <v>3.9405000000000001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40.052199999999999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14.448500000000001</v>
      </c>
      <c r="H203" s="69">
        <f t="shared" si="192"/>
        <v>161.30656666666667</v>
      </c>
      <c r="I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69.095654800745095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210.54472399593521</v>
      </c>
      <c r="T203" s="62">
        <f t="shared" si="204"/>
        <v>181.14158435194193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69.095654800745095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289.05608923588198</v>
      </c>
      <c r="AO203" s="62">
        <f t="shared" si="205"/>
        <v>220.06639020312738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69.095654800745095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projet'!$B$11,Paramètres!$A$1:$I$89,3,0)*VLOOKUP('Données projet'!$B$11,Paramètres!$A$1:$I$89,5,0)</f>
        <v>0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299.54950406029354</v>
      </c>
      <c r="BJ203" s="62">
        <f t="shared" si="206"/>
        <v>208.26364698165739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69.095654800745095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>
        <f>BY203*VLOOKUP('Données projet'!$B$12,Paramètres!$A$1:$I$89,3,0)*VLOOKUP('Données projet'!$B$12,Paramètres!$A$1:$I$89,5,0)</f>
        <v>0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441.30518831297212</v>
      </c>
      <c r="CE203" s="62">
        <f t="shared" si="207"/>
        <v>270.42872405271851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69.095654800745095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-1.1368683772161603E-13</v>
      </c>
      <c r="CU203" s="18">
        <f>CT203*VLOOKUP('Données projet'!$B$13,Paramètres!$A$1:$I$89,3,0)*VLOOKUP('Données projet'!$B$13,Paramètres!$A$1:$I$89,5,0)</f>
        <v>-9.9316821433603781E-14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310.81258463659196</v>
      </c>
      <c r="CZ203" s="62">
        <f t="shared" si="208"/>
        <v>287.31099756692083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69.095654800745095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>
        <f>DO203*VLOOKUP('Données projet'!$B$14,Paramètres!$A$1:$I$89,3,0)*VLOOKUP('Données projet'!$B$14,Paramètres!$A$1:$I$89,5,0)</f>
        <v>0</v>
      </c>
      <c r="DQ203" s="14" t="e">
        <f t="shared" si="176"/>
        <v>#NUM!</v>
      </c>
      <c r="DR203" s="22" t="e">
        <f t="shared" si="177"/>
        <v>#NUM!</v>
      </c>
      <c r="DS203" s="62" t="e">
        <f t="shared" si="197"/>
        <v>#NUM!</v>
      </c>
      <c r="DT203" s="62">
        <f ca="1">AVERAGE(OFFSET($DS$3,0,0,'Données projet'!$E$14+1,1))-AVERAGE(OFFSET($H$3,0,0,'Données projet'!$E$14+1,1))</f>
        <v>431.19274104373625</v>
      </c>
      <c r="DU203" s="62">
        <f t="shared" si="209"/>
        <v>264.67919175178133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69.095654800745095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-6.2527760746888816E-13</v>
      </c>
      <c r="EK203" s="18">
        <f>EJ203*VLOOKUP('Données projet'!$B$15,Paramètres!$A$1:$I$89,3,0)*VLOOKUP('Données projet'!$B$15,Paramètres!$A$1:$I$89,5,0)</f>
        <v>-2.9262992029543964E-13</v>
      </c>
      <c r="EL203" s="14" t="e">
        <f t="shared" si="179"/>
        <v>#NUM!</v>
      </c>
      <c r="EM203" s="22" t="e">
        <f t="shared" si="180"/>
        <v>#NUM!</v>
      </c>
      <c r="EN203" s="62" t="e">
        <f t="shared" si="198"/>
        <v>#NUM!</v>
      </c>
      <c r="EO203" s="62">
        <f ca="1">AVERAGE(OFFSET($EN$3,0,0,'Données projet'!$E$15+1,1))-AVERAGE(OFFSET($H$3,0,0,'Données projet'!$E$15+1,1))</f>
        <v>291.68530745507815</v>
      </c>
      <c r="EP203" s="62">
        <f t="shared" si="210"/>
        <v>175.95121106728979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0</v>
      </c>
      <c r="EZ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69.095654800745095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-1.1368683772161603E-13</v>
      </c>
      <c r="FF203" s="18">
        <f>FE203*VLOOKUP('Données projet'!$B$16,Paramètres!$A$1:$I$89,3,0)*VLOOKUP('Données projet'!$B$16,Paramètres!$A$1:$I$89,5,0)</f>
        <v>-7.4487616075202823E-14</v>
      </c>
      <c r="FG203" s="14" t="e">
        <f t="shared" si="182"/>
        <v>#NUM!</v>
      </c>
      <c r="FH203" s="22" t="e">
        <f t="shared" si="183"/>
        <v>#NUM!</v>
      </c>
      <c r="FI203" s="62" t="e">
        <f t="shared" si="199"/>
        <v>#NUM!</v>
      </c>
      <c r="FJ203" s="62">
        <f ca="1">AVERAGE(OFFSET($FI$3,0,0,'Données projet'!$E$16+1,1))-AVERAGE(OFFSET($H$3,0,0,'Données projet'!$E$16+1,1))</f>
        <v>248.75689726928428</v>
      </c>
      <c r="FK203" s="62">
        <f t="shared" si="211"/>
        <v>232.02291680388336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projet'!$B$16,Paramètres!$A$1:$I$89,3,0)*0.475*44/12</f>
        <v>0</v>
      </c>
      <c r="FR203" s="23">
        <f>EXP(-LN(2)/25)*FR202+(1-EXP(-LN(2)/25))/(LN(2)/25)*Calculateur!FM203*Calculateur!FO203*VLOOKUP('Données projet'!$B$16,Paramètres!$A$1:$I$89,3,0)*0.475*44/12</f>
        <v>0</v>
      </c>
      <c r="FS203" s="23">
        <f>EXP(-LN(2)/2)*FS202+(1-EXP(-LN(2)/2))/(LN(2)/2)*FM203*FP203*VLOOKUP('Données projet'!$B$16,Paramètres!$A$1:$I$89,3,0)*0.475*44/12</f>
        <v>0</v>
      </c>
      <c r="FT203" s="24">
        <f t="shared" si="184"/>
        <v>0</v>
      </c>
      <c r="FU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69.095654800745095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5.1159076974727213E-13</v>
      </c>
      <c r="GA203" s="18">
        <f>FZ203*VLOOKUP('Données projet'!$B$17,Paramètres!$A$1:$I$89,3,0)*VLOOKUP('Données projet'!$B$17,Paramètres!$A$1:$I$89,5,0)</f>
        <v>3.0593128030886877E-13</v>
      </c>
      <c r="GB203" s="14">
        <f t="shared" si="185"/>
        <v>4.0350537939347394E-12</v>
      </c>
      <c r="GC203" s="22">
        <f t="shared" si="186"/>
        <v>7.5605490043076185E-12</v>
      </c>
      <c r="GD203" s="62">
        <f t="shared" si="200"/>
        <v>290.01740093607293</v>
      </c>
      <c r="GE203" s="62">
        <f ca="1">AVERAGE(OFFSET($GD$3,0,0,'Données projet'!$E$17+1,1))-AVERAGE(OFFSET($H$3,0,0,'Données projet'!$E$17+1,1))</f>
        <v>315.909549580511</v>
      </c>
      <c r="GF203" s="62">
        <f t="shared" si="212"/>
        <v>208.56856525402051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projet'!$B$17,Paramètres!$A$1:$I$89,3,0)*0.475*44/12</f>
        <v>0</v>
      </c>
      <c r="GM203" s="23">
        <f>EXP(-LN(2)/25)*GM202+(1-EXP(-LN(2)/25))/(LN(2)/25)*Calculateur!GH203*Calculateur!GJ203*VLOOKUP('Données projet'!$B$17,Paramètres!$A$1:$I$89,3,0)*0.475*44/12</f>
        <v>0</v>
      </c>
      <c r="GN203" s="23">
        <f>EXP(-LN(2)/2)*GN202+(1-EXP(-LN(2)/2))/(LN(2)/2)*GH203*GK203*VLOOKUP('Données projet'!$B$17,Paramètres!$A$1:$I$89,3,0)*0.475*44/12</f>
        <v>0</v>
      </c>
      <c r="GO203" s="23">
        <f t="shared" si="187"/>
        <v>0</v>
      </c>
      <c r="GP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69.095654800745095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1.1368683772161603E-13</v>
      </c>
      <c r="GV203" s="18">
        <f>GU203*VLOOKUP('Données projet'!$B$18,Paramètres!$A$1:$I$89,3,0)*VLOOKUP('Données projet'!$B$18,Paramètres!$A$1:$I$89,5,0)</f>
        <v>7.626113074366004E-14</v>
      </c>
      <c r="GW203" s="14">
        <f t="shared" si="188"/>
        <v>1.1823749172251317E-12</v>
      </c>
      <c r="GX203" s="22">
        <f t="shared" si="189"/>
        <v>2.1921244502123119E-12</v>
      </c>
      <c r="GY203" s="62">
        <f t="shared" si="201"/>
        <v>290.01740093606759</v>
      </c>
      <c r="GZ203" s="62">
        <f ca="1">AVERAGE(OFFSET($GY$3,0,0,'Données projet'!$E$18+1,1))-AVERAGE(OFFSET($H$3,0,0,'Données projet'!$E$18+1,1))</f>
        <v>254.35742752782755</v>
      </c>
      <c r="HA203" s="62">
        <f t="shared" si="213"/>
        <v>171.79611712137395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>
        <f>EXP(-LN(2)/35)*HG202+(1-EXP(-LN(2)/35))/(LN(2)/35)*HC203*HD203*VLOOKUP('Données projet'!$B$18,Paramètres!$A$1:$I$89,3,0)*0.475*44/12</f>
        <v>0</v>
      </c>
      <c r="HH203" s="23">
        <f>EXP(-LN(2)/25)*HH202+(1-EXP(-LN(2)/25))/(LN(2)/25)*Calculateur!HC203*Calculateur!HE203*VLOOKUP('Données projet'!$B$18,Paramètres!$A$1:$I$89,3,0)*0.475*44/12</f>
        <v>0</v>
      </c>
      <c r="HI203" s="23">
        <f>EXP(-LN(2)/2)*HI202+(1-EXP(-LN(2)/2))/(LN(2)/2)*HC203*HF203*VLOOKUP('Données projet'!$B$18,Paramètres!$A$1:$I$89,3,0)*0.475*44/12</f>
        <v>0</v>
      </c>
      <c r="HJ203" s="24">
        <f t="shared" si="190"/>
        <v>0</v>
      </c>
    </row>
    <row r="204" spans="1:218" ht="15" thickBot="1" x14ac:dyDescent="0.35">
      <c r="B204" s="82"/>
      <c r="C204" s="80"/>
      <c r="D204" s="81"/>
      <c r="E204" s="81"/>
      <c r="F204" s="81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0"/>
      <c r="I204" s="80"/>
      <c r="J204" s="80"/>
      <c r="K204" s="89" t="s">
        <v>293</v>
      </c>
      <c r="L204" s="83"/>
      <c r="M204" s="83"/>
      <c r="N204" s="83"/>
      <c r="O204" s="80"/>
      <c r="P204" s="80"/>
      <c r="Q204" s="81"/>
      <c r="R204" s="84"/>
      <c r="S204" s="84"/>
      <c r="T204" s="84"/>
      <c r="U204" s="83"/>
      <c r="V204" s="83"/>
      <c r="W204" s="85"/>
      <c r="X204" s="85"/>
      <c r="Y204" s="85"/>
      <c r="Z204" s="80"/>
      <c r="AA204" s="80"/>
      <c r="AB204" s="80"/>
      <c r="AC204" s="80"/>
      <c r="AD204" s="80"/>
      <c r="AE204" s="80"/>
      <c r="AF204" s="86" t="s">
        <v>293</v>
      </c>
      <c r="BA204" s="86" t="s">
        <v>293</v>
      </c>
      <c r="BV204" s="86" t="s">
        <v>293</v>
      </c>
      <c r="CQ204" s="86" t="s">
        <v>293</v>
      </c>
      <c r="DL204" s="86" t="s">
        <v>293</v>
      </c>
      <c r="EG204" s="86" t="s">
        <v>293</v>
      </c>
      <c r="FB204" s="86" t="s">
        <v>293</v>
      </c>
      <c r="FW204" s="86" t="s">
        <v>293</v>
      </c>
      <c r="GR204" s="86" t="s">
        <v>293</v>
      </c>
    </row>
    <row r="205" spans="1:218" ht="15" thickBot="1" x14ac:dyDescent="0.35">
      <c r="B205" s="82"/>
      <c r="C205" s="80"/>
      <c r="D205" s="81"/>
      <c r="E205" s="81"/>
      <c r="F205" s="81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0"/>
      <c r="I205" s="80"/>
      <c r="J205" s="80"/>
      <c r="K205" s="87">
        <f>EXP(LN('Données projet'!B36)/'Données projet'!A36)</f>
        <v>1.2251829146849735</v>
      </c>
      <c r="L205" s="83"/>
      <c r="M205" s="83"/>
      <c r="N205" s="83"/>
      <c r="O205" s="80"/>
      <c r="P205" s="80"/>
      <c r="Q205" s="81"/>
      <c r="R205" s="84"/>
      <c r="S205" s="84"/>
      <c r="T205" s="84"/>
      <c r="U205" s="83"/>
      <c r="V205" s="83"/>
      <c r="W205" s="85"/>
      <c r="X205" s="85"/>
      <c r="Y205" s="85"/>
      <c r="Z205" s="80"/>
      <c r="AA205" s="80"/>
      <c r="AB205" s="80"/>
      <c r="AC205" s="80"/>
      <c r="AD205" s="80"/>
      <c r="AE205" s="80"/>
      <c r="AF205" s="88">
        <f>EXP(LN('Données projet'!B62)/'Données projet'!A62)</f>
        <v>1.3150034895347604</v>
      </c>
      <c r="BA205" s="87">
        <f>EXP(LN('Données projet'!B88)/'Données projet'!A88)</f>
        <v>1.3139754596796083</v>
      </c>
      <c r="BV205" s="87">
        <f>EXP(LN('Données projet'!B114)/'Données projet'!A114)</f>
        <v>1.197119521332874</v>
      </c>
      <c r="CQ205" s="87">
        <f>EXP(LN('Données projet'!B140)/'Données projet'!A140)</f>
        <v>1.1577536725165907</v>
      </c>
      <c r="DL205" s="87">
        <f>EXP(LN('Données projet'!B166)/'Données projet'!A166)</f>
        <v>1.197119521332874</v>
      </c>
      <c r="EG205" s="87">
        <f>EXP(LN('Données projet'!B192)/'Données projet'!A192)</f>
        <v>1.1671681906248585</v>
      </c>
      <c r="FB205" s="87">
        <f>EXP(LN('Données projet'!B218)/'Données projet'!A218)</f>
        <v>1.2516796742016716</v>
      </c>
      <c r="FW205" s="87">
        <f>EXP(LN('Données projet'!B244)/'Données projet'!A244)</f>
        <v>1.187216519917875</v>
      </c>
      <c r="GR205" s="87">
        <f>EXP(LN('Données projet'!B270)/'Données projet'!A270)</f>
        <v>1.1904804802795936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18" t="s">
        <v>0</v>
      </c>
      <c r="B1" s="119" t="s">
        <v>106</v>
      </c>
      <c r="C1" s="120" t="s">
        <v>144</v>
      </c>
      <c r="D1" s="119" t="s">
        <v>100</v>
      </c>
      <c r="E1" s="120" t="s">
        <v>145</v>
      </c>
      <c r="F1" s="120" t="s">
        <v>100</v>
      </c>
      <c r="G1" s="120" t="s">
        <v>146</v>
      </c>
      <c r="H1" s="120" t="s">
        <v>100</v>
      </c>
      <c r="I1" s="121" t="s">
        <v>147</v>
      </c>
      <c r="J1" s="98"/>
      <c r="K1" s="98"/>
      <c r="L1" s="98"/>
      <c r="M1" s="98"/>
      <c r="N1" s="98"/>
    </row>
    <row r="2" spans="1:16" x14ac:dyDescent="0.3">
      <c r="A2" s="122" t="s">
        <v>1</v>
      </c>
      <c r="B2" s="123" t="s">
        <v>53</v>
      </c>
      <c r="C2" s="124">
        <v>0.62</v>
      </c>
      <c r="D2" s="124" t="s">
        <v>161</v>
      </c>
      <c r="E2" s="124">
        <v>1.56</v>
      </c>
      <c r="F2" s="124" t="s">
        <v>274</v>
      </c>
      <c r="G2" s="125">
        <v>0.43</v>
      </c>
      <c r="H2" s="126" t="s">
        <v>278</v>
      </c>
      <c r="I2" s="127">
        <v>0.25</v>
      </c>
      <c r="J2" s="98"/>
      <c r="K2" s="98"/>
      <c r="L2" s="98"/>
      <c r="M2" s="98"/>
      <c r="N2" s="98"/>
      <c r="O2" s="315" t="s">
        <v>238</v>
      </c>
      <c r="P2" s="128">
        <v>0</v>
      </c>
    </row>
    <row r="3" spans="1:16" ht="15" thickBot="1" x14ac:dyDescent="0.35">
      <c r="A3" s="129" t="s">
        <v>2</v>
      </c>
      <c r="B3" s="130" t="s">
        <v>54</v>
      </c>
      <c r="C3" s="131">
        <v>0.64</v>
      </c>
      <c r="D3" s="131" t="s">
        <v>161</v>
      </c>
      <c r="E3" s="131">
        <v>1.56</v>
      </c>
      <c r="F3" s="132" t="s">
        <v>274</v>
      </c>
      <c r="G3" s="133">
        <v>0.43</v>
      </c>
      <c r="H3" s="131" t="s">
        <v>278</v>
      </c>
      <c r="I3" s="134">
        <v>0.25</v>
      </c>
      <c r="J3" s="98"/>
      <c r="K3" s="98"/>
      <c r="L3" s="98"/>
      <c r="M3" s="98"/>
      <c r="N3" s="98"/>
      <c r="O3" s="316"/>
      <c r="P3" s="135">
        <v>0.2</v>
      </c>
    </row>
    <row r="4" spans="1:16" ht="15" thickBot="1" x14ac:dyDescent="0.35">
      <c r="A4" s="129" t="s">
        <v>98</v>
      </c>
      <c r="B4" s="130" t="s">
        <v>99</v>
      </c>
      <c r="C4" s="131">
        <v>0.42</v>
      </c>
      <c r="D4" s="131" t="s">
        <v>161</v>
      </c>
      <c r="E4" s="131">
        <v>1.56</v>
      </c>
      <c r="F4" s="132" t="s">
        <v>274</v>
      </c>
      <c r="G4" s="133">
        <v>0.43</v>
      </c>
      <c r="H4" s="131" t="s">
        <v>278</v>
      </c>
      <c r="I4" s="134">
        <v>0.25</v>
      </c>
      <c r="J4" s="98"/>
      <c r="K4" s="98"/>
      <c r="L4" s="98"/>
      <c r="M4" s="98"/>
      <c r="N4" s="98"/>
    </row>
    <row r="5" spans="1:16" x14ac:dyDescent="0.3">
      <c r="A5" s="129" t="s">
        <v>4</v>
      </c>
      <c r="B5" s="130" t="s">
        <v>55</v>
      </c>
      <c r="C5" s="131">
        <v>0.42</v>
      </c>
      <c r="D5" s="131" t="s">
        <v>161</v>
      </c>
      <c r="E5" s="131">
        <v>1.56</v>
      </c>
      <c r="F5" s="132" t="s">
        <v>274</v>
      </c>
      <c r="G5" s="133">
        <v>0.43</v>
      </c>
      <c r="H5" s="131" t="s">
        <v>278</v>
      </c>
      <c r="I5" s="134">
        <v>0.25</v>
      </c>
      <c r="J5" s="98"/>
      <c r="K5" s="98"/>
      <c r="L5" s="98"/>
      <c r="M5" s="98"/>
      <c r="N5" s="98"/>
      <c r="O5" s="315" t="s">
        <v>237</v>
      </c>
      <c r="P5" s="128">
        <v>0</v>
      </c>
    </row>
    <row r="6" spans="1:16" x14ac:dyDescent="0.3">
      <c r="A6" s="129" t="s">
        <v>3</v>
      </c>
      <c r="B6" s="130" t="s">
        <v>97</v>
      </c>
      <c r="C6" s="131">
        <v>0.42</v>
      </c>
      <c r="D6" s="131" t="s">
        <v>161</v>
      </c>
      <c r="E6" s="131">
        <v>1.56</v>
      </c>
      <c r="F6" s="132" t="s">
        <v>274</v>
      </c>
      <c r="G6" s="133">
        <v>0.43</v>
      </c>
      <c r="H6" s="131" t="s">
        <v>278</v>
      </c>
      <c r="I6" s="134">
        <v>0.25</v>
      </c>
      <c r="J6" s="98"/>
      <c r="K6" s="98"/>
      <c r="L6" s="98"/>
      <c r="M6" s="98"/>
      <c r="N6" s="98"/>
      <c r="O6" s="317"/>
      <c r="P6" s="136">
        <v>0.05</v>
      </c>
    </row>
    <row r="7" spans="1:16" x14ac:dyDescent="0.3">
      <c r="A7" s="129" t="s">
        <v>5</v>
      </c>
      <c r="B7" s="130" t="s">
        <v>56</v>
      </c>
      <c r="C7" s="131">
        <v>0.52</v>
      </c>
      <c r="D7" s="131" t="s">
        <v>161</v>
      </c>
      <c r="E7" s="131">
        <v>1.56</v>
      </c>
      <c r="F7" s="132" t="s">
        <v>274</v>
      </c>
      <c r="G7" s="133">
        <v>0.43</v>
      </c>
      <c r="H7" s="131" t="s">
        <v>278</v>
      </c>
      <c r="I7" s="134">
        <v>0.25</v>
      </c>
      <c r="J7" s="98"/>
      <c r="K7" s="98"/>
      <c r="L7" s="98"/>
      <c r="M7" s="98"/>
      <c r="N7" s="98"/>
      <c r="O7" s="317"/>
      <c r="P7" s="136">
        <v>0.1</v>
      </c>
    </row>
    <row r="8" spans="1:16" ht="15" thickBot="1" x14ac:dyDescent="0.35">
      <c r="A8" s="129" t="s">
        <v>164</v>
      </c>
      <c r="B8" s="130" t="s">
        <v>57</v>
      </c>
      <c r="C8" s="131">
        <v>0.36</v>
      </c>
      <c r="D8" s="131" t="s">
        <v>161</v>
      </c>
      <c r="E8" s="131">
        <v>1.3</v>
      </c>
      <c r="F8" s="132" t="s">
        <v>274</v>
      </c>
      <c r="G8" s="133">
        <v>0.55000000000000004</v>
      </c>
      <c r="H8" s="131" t="s">
        <v>153</v>
      </c>
      <c r="I8" s="134">
        <v>0.43</v>
      </c>
      <c r="J8" s="98"/>
      <c r="K8" s="98"/>
      <c r="L8" s="98"/>
      <c r="M8" s="98"/>
      <c r="N8" s="98"/>
      <c r="O8" s="316"/>
      <c r="P8" s="135">
        <v>0.15</v>
      </c>
    </row>
    <row r="9" spans="1:16" ht="15" thickBot="1" x14ac:dyDescent="0.35">
      <c r="A9" s="129" t="s">
        <v>6</v>
      </c>
      <c r="B9" s="130" t="s">
        <v>58</v>
      </c>
      <c r="C9" s="131">
        <v>0.61</v>
      </c>
      <c r="D9" s="131" t="s">
        <v>161</v>
      </c>
      <c r="E9" s="131">
        <v>1.56</v>
      </c>
      <c r="F9" s="132" t="s">
        <v>274</v>
      </c>
      <c r="G9" s="133">
        <v>0.43</v>
      </c>
      <c r="H9" s="131" t="s">
        <v>278</v>
      </c>
      <c r="I9" s="134">
        <v>0.25</v>
      </c>
      <c r="J9" s="98"/>
      <c r="K9" s="98"/>
      <c r="L9" s="98"/>
      <c r="M9" s="98"/>
      <c r="N9" s="98"/>
    </row>
    <row r="10" spans="1:16" x14ac:dyDescent="0.3">
      <c r="A10" s="129" t="s">
        <v>7</v>
      </c>
      <c r="B10" s="130" t="s">
        <v>59</v>
      </c>
      <c r="C10" s="131">
        <v>0.66</v>
      </c>
      <c r="D10" s="131" t="s">
        <v>161</v>
      </c>
      <c r="E10" s="131">
        <v>1.56</v>
      </c>
      <c r="F10" s="132" t="s">
        <v>274</v>
      </c>
      <c r="G10" s="133">
        <v>0.43</v>
      </c>
      <c r="H10" s="131" t="s">
        <v>278</v>
      </c>
      <c r="I10" s="134">
        <v>0.25</v>
      </c>
      <c r="J10" s="98"/>
      <c r="K10" s="98"/>
      <c r="L10" s="98"/>
      <c r="M10" s="98"/>
      <c r="N10" s="98"/>
      <c r="O10" s="315" t="s">
        <v>236</v>
      </c>
      <c r="P10" s="128">
        <v>0</v>
      </c>
    </row>
    <row r="11" spans="1:16" ht="15" thickBot="1" x14ac:dyDescent="0.35">
      <c r="A11" s="129" t="s">
        <v>8</v>
      </c>
      <c r="B11" s="130" t="s">
        <v>60</v>
      </c>
      <c r="C11" s="131">
        <v>0.47</v>
      </c>
      <c r="D11" s="131" t="s">
        <v>161</v>
      </c>
      <c r="E11" s="131">
        <v>1.56</v>
      </c>
      <c r="F11" s="132" t="s">
        <v>274</v>
      </c>
      <c r="G11" s="133">
        <v>0.43</v>
      </c>
      <c r="H11" s="131" t="s">
        <v>278</v>
      </c>
      <c r="I11" s="134">
        <v>0.25</v>
      </c>
      <c r="J11" s="98"/>
      <c r="K11" s="98"/>
      <c r="L11" s="98"/>
      <c r="M11" s="98"/>
      <c r="N11" s="98"/>
      <c r="O11" s="316"/>
      <c r="P11" s="135">
        <v>0.1</v>
      </c>
    </row>
    <row r="12" spans="1:16" x14ac:dyDescent="0.3">
      <c r="A12" s="129" t="s">
        <v>9</v>
      </c>
      <c r="B12" s="130" t="s">
        <v>61</v>
      </c>
      <c r="C12" s="131">
        <v>0.67</v>
      </c>
      <c r="D12" s="131" t="s">
        <v>161</v>
      </c>
      <c r="E12" s="131">
        <v>1.56</v>
      </c>
      <c r="F12" s="132" t="s">
        <v>274</v>
      </c>
      <c r="G12" s="133">
        <v>0.43</v>
      </c>
      <c r="H12" s="131" t="s">
        <v>152</v>
      </c>
      <c r="I12" s="134">
        <v>0.25</v>
      </c>
      <c r="J12" s="98"/>
      <c r="K12" s="98"/>
      <c r="L12" s="98"/>
      <c r="M12" s="98"/>
      <c r="N12" s="98"/>
    </row>
    <row r="13" spans="1:16" x14ac:dyDescent="0.3">
      <c r="A13" s="129" t="s">
        <v>10</v>
      </c>
      <c r="B13" s="130" t="s">
        <v>62</v>
      </c>
      <c r="C13" s="131">
        <v>0.7</v>
      </c>
      <c r="D13" s="131" t="s">
        <v>161</v>
      </c>
      <c r="E13" s="131">
        <v>1.56</v>
      </c>
      <c r="F13" s="132" t="s">
        <v>274</v>
      </c>
      <c r="G13" s="133">
        <v>0.43</v>
      </c>
      <c r="H13" s="131" t="s">
        <v>152</v>
      </c>
      <c r="I13" s="134">
        <v>0.25</v>
      </c>
      <c r="J13" s="98"/>
      <c r="K13" s="98"/>
      <c r="L13" s="98"/>
      <c r="M13" s="98"/>
      <c r="N13" s="98"/>
    </row>
    <row r="14" spans="1:16" x14ac:dyDescent="0.3">
      <c r="A14" s="129" t="s">
        <v>11</v>
      </c>
      <c r="B14" s="130" t="s">
        <v>63</v>
      </c>
      <c r="C14" s="131">
        <v>0.54</v>
      </c>
      <c r="D14" s="131" t="s">
        <v>161</v>
      </c>
      <c r="E14" s="131">
        <v>1.56</v>
      </c>
      <c r="F14" s="132" t="s">
        <v>274</v>
      </c>
      <c r="G14" s="133">
        <v>0.43</v>
      </c>
      <c r="H14" s="131" t="s">
        <v>152</v>
      </c>
      <c r="I14" s="134">
        <v>0.25</v>
      </c>
      <c r="J14" s="98"/>
      <c r="K14" s="98"/>
      <c r="L14" s="98"/>
      <c r="M14" s="98"/>
      <c r="N14" s="98"/>
    </row>
    <row r="15" spans="1:16" x14ac:dyDescent="0.3">
      <c r="A15" s="129" t="s">
        <v>12</v>
      </c>
      <c r="B15" s="130" t="s">
        <v>64</v>
      </c>
      <c r="C15" s="131">
        <v>0.65</v>
      </c>
      <c r="D15" s="131" t="s">
        <v>161</v>
      </c>
      <c r="E15" s="131">
        <v>1.56</v>
      </c>
      <c r="F15" s="132" t="s">
        <v>274</v>
      </c>
      <c r="G15" s="133">
        <v>0.43</v>
      </c>
      <c r="H15" s="131" t="s">
        <v>152</v>
      </c>
      <c r="I15" s="134">
        <v>0.25</v>
      </c>
      <c r="J15" s="98"/>
      <c r="K15" s="98"/>
      <c r="L15" s="98"/>
      <c r="M15" s="98"/>
      <c r="N15" s="98"/>
    </row>
    <row r="16" spans="1:16" x14ac:dyDescent="0.3">
      <c r="A16" s="129" t="s">
        <v>13</v>
      </c>
      <c r="B16" s="130" t="s">
        <v>65</v>
      </c>
      <c r="C16" s="131">
        <v>0.56000000000000005</v>
      </c>
      <c r="D16" s="131" t="s">
        <v>161</v>
      </c>
      <c r="E16" s="131">
        <v>1.56</v>
      </c>
      <c r="F16" s="132" t="s">
        <v>274</v>
      </c>
      <c r="G16" s="133">
        <v>0.43</v>
      </c>
      <c r="H16" s="131" t="s">
        <v>152</v>
      </c>
      <c r="I16" s="134">
        <v>0.25</v>
      </c>
      <c r="J16" s="98"/>
      <c r="K16" s="98"/>
      <c r="L16" s="98"/>
      <c r="M16" s="98"/>
      <c r="N16" s="98"/>
    </row>
    <row r="17" spans="1:14" x14ac:dyDescent="0.3">
      <c r="A17" s="129" t="s">
        <v>14</v>
      </c>
      <c r="B17" s="130" t="s">
        <v>66</v>
      </c>
      <c r="C17" s="131">
        <v>0.57999999999999996</v>
      </c>
      <c r="D17" s="131" t="s">
        <v>161</v>
      </c>
      <c r="E17" s="131">
        <v>1.56</v>
      </c>
      <c r="F17" s="132" t="s">
        <v>274</v>
      </c>
      <c r="G17" s="133">
        <v>0.43</v>
      </c>
      <c r="H17" s="131" t="s">
        <v>152</v>
      </c>
      <c r="I17" s="134">
        <v>0.25</v>
      </c>
      <c r="J17" s="98"/>
      <c r="K17" s="98"/>
      <c r="L17" s="98"/>
      <c r="M17" s="98"/>
      <c r="N17" s="98"/>
    </row>
    <row r="18" spans="1:14" x14ac:dyDescent="0.3">
      <c r="A18" s="129" t="s">
        <v>15</v>
      </c>
      <c r="B18" s="130" t="s">
        <v>67</v>
      </c>
      <c r="C18" s="131">
        <v>0.64</v>
      </c>
      <c r="D18" s="131" t="s">
        <v>161</v>
      </c>
      <c r="E18" s="131">
        <v>1.56</v>
      </c>
      <c r="F18" s="132" t="s">
        <v>274</v>
      </c>
      <c r="G18" s="133">
        <v>0.43</v>
      </c>
      <c r="H18" s="131" t="s">
        <v>152</v>
      </c>
      <c r="I18" s="134">
        <v>0.25</v>
      </c>
      <c r="J18" s="98"/>
      <c r="K18" s="98"/>
      <c r="L18" s="98"/>
      <c r="M18" s="98"/>
      <c r="N18" s="98"/>
    </row>
    <row r="19" spans="1:14" x14ac:dyDescent="0.3">
      <c r="A19" s="129" t="s">
        <v>16</v>
      </c>
      <c r="B19" s="130" t="s">
        <v>68</v>
      </c>
      <c r="C19" s="131">
        <v>0.73</v>
      </c>
      <c r="D19" s="131" t="s">
        <v>161</v>
      </c>
      <c r="E19" s="131">
        <v>1.56</v>
      </c>
      <c r="F19" s="132" t="s">
        <v>274</v>
      </c>
      <c r="G19" s="133">
        <v>0.43</v>
      </c>
      <c r="H19" s="131" t="s">
        <v>152</v>
      </c>
      <c r="I19" s="134">
        <v>0.25</v>
      </c>
      <c r="J19" s="98"/>
      <c r="K19" s="98"/>
      <c r="L19" s="98"/>
      <c r="M19" s="98"/>
      <c r="N19" s="98"/>
    </row>
    <row r="20" spans="1:14" x14ac:dyDescent="0.3">
      <c r="A20" s="129" t="s">
        <v>52</v>
      </c>
      <c r="B20" s="130" t="s">
        <v>69</v>
      </c>
      <c r="C20" s="131">
        <v>0.69</v>
      </c>
      <c r="D20" s="131" t="s">
        <v>131</v>
      </c>
      <c r="E20" s="131">
        <v>1.56</v>
      </c>
      <c r="F20" s="132" t="s">
        <v>274</v>
      </c>
      <c r="G20" s="133">
        <v>0.43</v>
      </c>
      <c r="H20" s="131" t="s">
        <v>282</v>
      </c>
      <c r="I20" s="134">
        <v>0.25</v>
      </c>
      <c r="J20" s="98"/>
      <c r="K20" s="98"/>
      <c r="L20" s="98"/>
      <c r="M20" s="98"/>
      <c r="N20" s="98"/>
    </row>
    <row r="21" spans="1:14" x14ac:dyDescent="0.3">
      <c r="A21" s="129" t="s">
        <v>154</v>
      </c>
      <c r="B21" s="130" t="s">
        <v>155</v>
      </c>
      <c r="C21" s="131">
        <v>0.36</v>
      </c>
      <c r="D21" s="131" t="s">
        <v>161</v>
      </c>
      <c r="E21" s="131">
        <v>1.3</v>
      </c>
      <c r="F21" s="132" t="s">
        <v>274</v>
      </c>
      <c r="G21" s="133">
        <v>0.55000000000000004</v>
      </c>
      <c r="H21" s="131" t="s">
        <v>153</v>
      </c>
      <c r="I21" s="134">
        <v>0.43</v>
      </c>
      <c r="J21" s="98"/>
      <c r="K21" s="98"/>
      <c r="L21" s="98"/>
      <c r="M21" s="98"/>
      <c r="N21" s="98"/>
    </row>
    <row r="22" spans="1:14" x14ac:dyDescent="0.3">
      <c r="A22" s="129" t="s">
        <v>17</v>
      </c>
      <c r="B22" s="130" t="s">
        <v>70</v>
      </c>
      <c r="C22" s="131">
        <v>0.4</v>
      </c>
      <c r="D22" s="131" t="s">
        <v>161</v>
      </c>
      <c r="E22" s="131">
        <v>1.3</v>
      </c>
      <c r="F22" s="132" t="s">
        <v>274</v>
      </c>
      <c r="G22" s="133">
        <v>0.55000000000000004</v>
      </c>
      <c r="H22" s="131" t="s">
        <v>153</v>
      </c>
      <c r="I22" s="134">
        <v>0.43</v>
      </c>
      <c r="J22" s="98"/>
      <c r="K22" s="98"/>
      <c r="L22" s="98"/>
      <c r="M22" s="98"/>
      <c r="N22" s="98"/>
    </row>
    <row r="23" spans="1:14" x14ac:dyDescent="0.3">
      <c r="A23" s="129" t="s">
        <v>18</v>
      </c>
      <c r="B23" s="130" t="s">
        <v>71</v>
      </c>
      <c r="C23" s="131">
        <v>0.43</v>
      </c>
      <c r="D23" s="131" t="s">
        <v>161</v>
      </c>
      <c r="E23" s="131">
        <v>1.3</v>
      </c>
      <c r="F23" s="132" t="s">
        <v>274</v>
      </c>
      <c r="G23" s="133">
        <v>0.55000000000000004</v>
      </c>
      <c r="H23" s="131" t="s">
        <v>153</v>
      </c>
      <c r="I23" s="134">
        <v>0.43</v>
      </c>
      <c r="J23" s="98"/>
      <c r="K23" s="98"/>
      <c r="L23" s="98"/>
      <c r="M23" s="98"/>
      <c r="N23" s="98"/>
    </row>
    <row r="24" spans="1:14" x14ac:dyDescent="0.3">
      <c r="A24" s="129" t="s">
        <v>19</v>
      </c>
      <c r="B24" s="130" t="s">
        <v>72</v>
      </c>
      <c r="C24" s="131">
        <v>0.37</v>
      </c>
      <c r="D24" s="131" t="s">
        <v>161</v>
      </c>
      <c r="E24" s="131">
        <v>1.3</v>
      </c>
      <c r="F24" s="132" t="s">
        <v>274</v>
      </c>
      <c r="G24" s="133">
        <v>0.55000000000000004</v>
      </c>
      <c r="H24" s="131" t="s">
        <v>152</v>
      </c>
      <c r="I24" s="134">
        <v>0.43</v>
      </c>
      <c r="J24" s="98"/>
      <c r="K24" s="98"/>
      <c r="L24" s="98"/>
      <c r="M24" s="98"/>
      <c r="N24" s="98"/>
    </row>
    <row r="25" spans="1:14" x14ac:dyDescent="0.3">
      <c r="A25" s="129" t="s">
        <v>20</v>
      </c>
      <c r="B25" s="130" t="s">
        <v>73</v>
      </c>
      <c r="C25" s="131">
        <v>0.36</v>
      </c>
      <c r="D25" s="131" t="s">
        <v>161</v>
      </c>
      <c r="E25" s="131">
        <v>1.3</v>
      </c>
      <c r="F25" s="132" t="s">
        <v>274</v>
      </c>
      <c r="G25" s="133">
        <v>0.55000000000000004</v>
      </c>
      <c r="H25" s="131" t="s">
        <v>152</v>
      </c>
      <c r="I25" s="134">
        <v>0.43</v>
      </c>
      <c r="J25" s="98"/>
      <c r="K25" s="98"/>
      <c r="L25" s="98"/>
      <c r="M25" s="98"/>
      <c r="N25" s="98"/>
    </row>
    <row r="26" spans="1:14" x14ac:dyDescent="0.3">
      <c r="A26" s="129" t="s">
        <v>21</v>
      </c>
      <c r="B26" s="130" t="s">
        <v>74</v>
      </c>
      <c r="C26" s="131">
        <v>0.56000000000000005</v>
      </c>
      <c r="D26" s="131" t="s">
        <v>161</v>
      </c>
      <c r="E26" s="131">
        <v>1.56</v>
      </c>
      <c r="F26" s="132" t="s">
        <v>274</v>
      </c>
      <c r="G26" s="133">
        <v>0.53</v>
      </c>
      <c r="H26" s="131" t="s">
        <v>275</v>
      </c>
      <c r="I26" s="134">
        <v>0.25</v>
      </c>
      <c r="J26" s="98"/>
      <c r="K26" s="98"/>
      <c r="L26" s="98"/>
      <c r="M26" s="98"/>
      <c r="N26" s="98"/>
    </row>
    <row r="27" spans="1:14" x14ac:dyDescent="0.3">
      <c r="A27" s="129" t="s">
        <v>22</v>
      </c>
      <c r="B27" s="130" t="s">
        <v>75</v>
      </c>
      <c r="C27" s="131">
        <v>0.51</v>
      </c>
      <c r="D27" s="131" t="s">
        <v>161</v>
      </c>
      <c r="E27" s="131">
        <v>1.56</v>
      </c>
      <c r="F27" s="132" t="s">
        <v>274</v>
      </c>
      <c r="G27" s="133">
        <v>0.53</v>
      </c>
      <c r="H27" s="131" t="s">
        <v>275</v>
      </c>
      <c r="I27" s="134">
        <v>0.25</v>
      </c>
      <c r="J27" s="98"/>
      <c r="K27" s="98"/>
      <c r="L27" s="98"/>
      <c r="M27" s="98"/>
      <c r="N27" s="98"/>
    </row>
    <row r="28" spans="1:14" x14ac:dyDescent="0.3">
      <c r="A28" s="129" t="s">
        <v>23</v>
      </c>
      <c r="B28" s="130" t="s">
        <v>76</v>
      </c>
      <c r="C28" s="131">
        <v>0.51</v>
      </c>
      <c r="D28" s="131" t="s">
        <v>161</v>
      </c>
      <c r="E28" s="131">
        <v>1.56</v>
      </c>
      <c r="F28" s="132" t="s">
        <v>274</v>
      </c>
      <c r="G28" s="133">
        <v>0.53</v>
      </c>
      <c r="H28" s="131" t="s">
        <v>275</v>
      </c>
      <c r="I28" s="134">
        <v>0.25</v>
      </c>
      <c r="J28" s="98"/>
      <c r="K28" s="98"/>
      <c r="L28" s="98"/>
      <c r="M28" s="98"/>
      <c r="N28" s="98"/>
    </row>
    <row r="29" spans="1:14" x14ac:dyDescent="0.3">
      <c r="A29" s="129" t="s">
        <v>24</v>
      </c>
      <c r="B29" s="130" t="s">
        <v>24</v>
      </c>
      <c r="C29" s="131">
        <v>0.56000000000000005</v>
      </c>
      <c r="D29" s="131" t="s">
        <v>161</v>
      </c>
      <c r="E29" s="131">
        <v>1.56</v>
      </c>
      <c r="F29" s="132" t="s">
        <v>274</v>
      </c>
      <c r="G29" s="133">
        <v>0.53</v>
      </c>
      <c r="H29" s="131" t="s">
        <v>275</v>
      </c>
      <c r="I29" s="134">
        <v>0.25</v>
      </c>
      <c r="J29" s="98"/>
      <c r="K29" s="98"/>
      <c r="L29" s="98"/>
      <c r="M29" s="98"/>
      <c r="N29" s="98"/>
    </row>
    <row r="30" spans="1:14" x14ac:dyDescent="0.3">
      <c r="A30" s="129" t="s">
        <v>25</v>
      </c>
      <c r="B30" s="130" t="s">
        <v>77</v>
      </c>
      <c r="C30" s="131">
        <v>0.55000000000000004</v>
      </c>
      <c r="D30" s="131" t="s">
        <v>161</v>
      </c>
      <c r="E30" s="131">
        <v>1.56</v>
      </c>
      <c r="F30" s="132" t="s">
        <v>274</v>
      </c>
      <c r="G30" s="133">
        <v>0.53</v>
      </c>
      <c r="H30" s="131" t="s">
        <v>152</v>
      </c>
      <c r="I30" s="134">
        <v>0.25</v>
      </c>
      <c r="J30" s="98"/>
      <c r="K30" s="98"/>
      <c r="L30" s="98"/>
      <c r="M30" s="98"/>
      <c r="N30" s="98"/>
    </row>
    <row r="31" spans="1:14" x14ac:dyDescent="0.3">
      <c r="A31" s="129" t="s">
        <v>26</v>
      </c>
      <c r="B31" s="130" t="s">
        <v>78</v>
      </c>
      <c r="C31" s="131">
        <v>0.56000000000000005</v>
      </c>
      <c r="D31" s="131" t="s">
        <v>161</v>
      </c>
      <c r="E31" s="131">
        <v>1.56</v>
      </c>
      <c r="F31" s="132" t="s">
        <v>274</v>
      </c>
      <c r="G31" s="133">
        <v>0.43</v>
      </c>
      <c r="H31" s="131" t="s">
        <v>278</v>
      </c>
      <c r="I31" s="134">
        <v>0.25</v>
      </c>
      <c r="J31" s="98"/>
      <c r="K31" s="98"/>
      <c r="L31" s="98"/>
      <c r="M31" s="98"/>
      <c r="N31" s="98"/>
    </row>
    <row r="32" spans="1:14" x14ac:dyDescent="0.3">
      <c r="A32" s="129" t="s">
        <v>27</v>
      </c>
      <c r="B32" s="130" t="s">
        <v>79</v>
      </c>
      <c r="C32" s="131">
        <v>0.48</v>
      </c>
      <c r="D32" s="131" t="s">
        <v>161</v>
      </c>
      <c r="E32" s="131">
        <v>1.3</v>
      </c>
      <c r="F32" s="132" t="s">
        <v>274</v>
      </c>
      <c r="G32" s="133">
        <v>0.6</v>
      </c>
      <c r="H32" s="131" t="s">
        <v>281</v>
      </c>
      <c r="I32" s="134">
        <v>0.43</v>
      </c>
      <c r="J32" s="98"/>
      <c r="K32" s="98"/>
      <c r="L32" s="98"/>
      <c r="M32" s="98"/>
      <c r="N32" s="98"/>
    </row>
    <row r="33" spans="1:14" x14ac:dyDescent="0.3">
      <c r="A33" s="129" t="s">
        <v>28</v>
      </c>
      <c r="B33" s="130" t="s">
        <v>80</v>
      </c>
      <c r="C33" s="131">
        <v>0.42</v>
      </c>
      <c r="D33" s="131" t="s">
        <v>161</v>
      </c>
      <c r="E33" s="131">
        <v>1.3</v>
      </c>
      <c r="F33" s="132" t="s">
        <v>274</v>
      </c>
      <c r="G33" s="133">
        <v>0.6</v>
      </c>
      <c r="H33" s="131" t="s">
        <v>281</v>
      </c>
      <c r="I33" s="134">
        <v>0.43</v>
      </c>
      <c r="J33" s="98"/>
      <c r="K33" s="98"/>
      <c r="L33" s="98"/>
      <c r="M33" s="98"/>
      <c r="N33" s="98"/>
    </row>
    <row r="34" spans="1:14" x14ac:dyDescent="0.3">
      <c r="A34" s="129" t="s">
        <v>81</v>
      </c>
      <c r="B34" s="130" t="s">
        <v>163</v>
      </c>
      <c r="C34" s="131">
        <v>0.42</v>
      </c>
      <c r="D34" s="131" t="s">
        <v>103</v>
      </c>
      <c r="E34" s="131">
        <v>1.3</v>
      </c>
      <c r="F34" s="132" t="s">
        <v>274</v>
      </c>
      <c r="G34" s="133">
        <v>0.6</v>
      </c>
      <c r="H34" s="130" t="s">
        <v>280</v>
      </c>
      <c r="I34" s="134">
        <v>0.43</v>
      </c>
      <c r="J34" s="98"/>
      <c r="K34" s="98"/>
      <c r="L34" s="98"/>
      <c r="M34" s="98"/>
      <c r="N34" s="98"/>
    </row>
    <row r="35" spans="1:14" x14ac:dyDescent="0.3">
      <c r="A35" s="129" t="s">
        <v>29</v>
      </c>
      <c r="B35" s="130" t="s">
        <v>82</v>
      </c>
      <c r="C35" s="131">
        <v>0.5</v>
      </c>
      <c r="D35" s="131" t="s">
        <v>161</v>
      </c>
      <c r="E35" s="131">
        <v>1.56</v>
      </c>
      <c r="F35" s="132" t="s">
        <v>274</v>
      </c>
      <c r="G35" s="133">
        <v>0.43</v>
      </c>
      <c r="H35" s="131" t="s">
        <v>278</v>
      </c>
      <c r="I35" s="134">
        <v>0.25</v>
      </c>
      <c r="J35" s="98"/>
      <c r="K35" s="98"/>
      <c r="L35" s="98"/>
      <c r="M35" s="98"/>
      <c r="N35" s="98"/>
    </row>
    <row r="36" spans="1:14" x14ac:dyDescent="0.3">
      <c r="A36" s="129" t="s">
        <v>102</v>
      </c>
      <c r="B36" s="130" t="s">
        <v>101</v>
      </c>
      <c r="C36" s="131">
        <v>0.55000000000000004</v>
      </c>
      <c r="D36" s="131" t="s">
        <v>161</v>
      </c>
      <c r="E36" s="131">
        <v>1.56</v>
      </c>
      <c r="F36" s="132" t="s">
        <v>274</v>
      </c>
      <c r="G36" s="133">
        <v>0.53</v>
      </c>
      <c r="H36" s="131" t="s">
        <v>275</v>
      </c>
      <c r="I36" s="134">
        <v>0.25</v>
      </c>
      <c r="J36" s="98"/>
      <c r="K36" s="98"/>
      <c r="L36" s="98"/>
      <c r="M36" s="98"/>
      <c r="N36" s="98"/>
    </row>
    <row r="37" spans="1:14" x14ac:dyDescent="0.3">
      <c r="A37" s="129" t="s">
        <v>30</v>
      </c>
      <c r="B37" s="130" t="s">
        <v>104</v>
      </c>
      <c r="C37" s="131">
        <v>0.52</v>
      </c>
      <c r="D37" s="131" t="s">
        <v>161</v>
      </c>
      <c r="E37" s="131">
        <v>1.56</v>
      </c>
      <c r="F37" s="132" t="s">
        <v>274</v>
      </c>
      <c r="G37" s="133">
        <v>0.53</v>
      </c>
      <c r="H37" s="131" t="s">
        <v>275</v>
      </c>
      <c r="I37" s="134">
        <v>0.25</v>
      </c>
      <c r="J37" s="98"/>
      <c r="K37" s="98"/>
      <c r="L37" s="98"/>
      <c r="M37" s="98"/>
      <c r="N37" s="98"/>
    </row>
    <row r="38" spans="1:14" x14ac:dyDescent="0.3">
      <c r="A38" s="129" t="s">
        <v>31</v>
      </c>
      <c r="B38" s="130" t="s">
        <v>105</v>
      </c>
      <c r="C38" s="131">
        <v>0.52</v>
      </c>
      <c r="D38" s="131" t="s">
        <v>161</v>
      </c>
      <c r="E38" s="131">
        <v>1.56</v>
      </c>
      <c r="F38" s="132" t="s">
        <v>274</v>
      </c>
      <c r="G38" s="133">
        <v>0.43</v>
      </c>
      <c r="H38" s="131" t="s">
        <v>278</v>
      </c>
      <c r="I38" s="134">
        <v>0.25</v>
      </c>
      <c r="J38" s="98"/>
      <c r="K38" s="98"/>
      <c r="L38" s="98"/>
      <c r="M38" s="98"/>
      <c r="N38" s="98"/>
    </row>
    <row r="39" spans="1:14" x14ac:dyDescent="0.3">
      <c r="A39" s="129" t="s">
        <v>107</v>
      </c>
      <c r="B39" s="130" t="s">
        <v>132</v>
      </c>
      <c r="C39" s="131">
        <v>0.313</v>
      </c>
      <c r="D39" s="131" t="s">
        <v>130</v>
      </c>
      <c r="E39" s="131">
        <v>1.56</v>
      </c>
      <c r="F39" s="132" t="s">
        <v>274</v>
      </c>
      <c r="G39" s="133">
        <v>0.6</v>
      </c>
      <c r="H39" s="131" t="s">
        <v>283</v>
      </c>
      <c r="I39" s="134">
        <v>1.03</v>
      </c>
      <c r="J39" s="98"/>
      <c r="K39" s="98"/>
      <c r="L39" s="98"/>
      <c r="M39" s="98"/>
      <c r="N39" s="98"/>
    </row>
    <row r="40" spans="1:14" x14ac:dyDescent="0.3">
      <c r="A40" s="129" t="s">
        <v>108</v>
      </c>
      <c r="B40" s="130" t="s">
        <v>132</v>
      </c>
      <c r="C40" s="131">
        <v>0.35199999999999998</v>
      </c>
      <c r="D40" s="131" t="s">
        <v>130</v>
      </c>
      <c r="E40" s="131">
        <v>1.56</v>
      </c>
      <c r="F40" s="132" t="s">
        <v>274</v>
      </c>
      <c r="G40" s="133">
        <v>0.6</v>
      </c>
      <c r="H40" s="131" t="s">
        <v>283</v>
      </c>
      <c r="I40" s="134">
        <v>1.03</v>
      </c>
      <c r="J40" s="98"/>
      <c r="K40" s="98"/>
      <c r="L40" s="98"/>
      <c r="M40" s="98"/>
      <c r="N40" s="98"/>
    </row>
    <row r="41" spans="1:14" x14ac:dyDescent="0.3">
      <c r="A41" s="129" t="s">
        <v>121</v>
      </c>
      <c r="B41" s="130" t="s">
        <v>132</v>
      </c>
      <c r="C41" s="131">
        <v>0.32200000000000001</v>
      </c>
      <c r="D41" s="131" t="s">
        <v>130</v>
      </c>
      <c r="E41" s="131">
        <v>1.56</v>
      </c>
      <c r="F41" s="132" t="s">
        <v>274</v>
      </c>
      <c r="G41" s="133">
        <v>0.6</v>
      </c>
      <c r="H41" s="131" t="s">
        <v>283</v>
      </c>
      <c r="I41" s="134">
        <v>1.03</v>
      </c>
      <c r="J41" s="98"/>
      <c r="K41" s="98"/>
      <c r="L41" s="98"/>
      <c r="M41" s="98"/>
      <c r="N41" s="98"/>
    </row>
    <row r="42" spans="1:14" x14ac:dyDescent="0.3">
      <c r="A42" s="129" t="s">
        <v>122</v>
      </c>
      <c r="B42" s="130" t="s">
        <v>132</v>
      </c>
      <c r="C42" s="131">
        <v>0.311</v>
      </c>
      <c r="D42" s="131" t="s">
        <v>130</v>
      </c>
      <c r="E42" s="131">
        <v>1.56</v>
      </c>
      <c r="F42" s="132" t="s">
        <v>274</v>
      </c>
      <c r="G42" s="133">
        <v>0.6</v>
      </c>
      <c r="H42" s="131" t="s">
        <v>283</v>
      </c>
      <c r="I42" s="134">
        <v>1.03</v>
      </c>
      <c r="J42" s="98"/>
      <c r="K42" s="98"/>
      <c r="L42" s="98"/>
      <c r="M42" s="98"/>
      <c r="N42" s="98"/>
    </row>
    <row r="43" spans="1:14" x14ac:dyDescent="0.3">
      <c r="A43" s="129" t="s">
        <v>109</v>
      </c>
      <c r="B43" s="130" t="s">
        <v>132</v>
      </c>
      <c r="C43" s="131">
        <v>0.33900000000000002</v>
      </c>
      <c r="D43" s="131" t="s">
        <v>130</v>
      </c>
      <c r="E43" s="131">
        <v>1.56</v>
      </c>
      <c r="F43" s="132" t="s">
        <v>274</v>
      </c>
      <c r="G43" s="133">
        <v>0.6</v>
      </c>
      <c r="H43" s="131" t="s">
        <v>283</v>
      </c>
      <c r="I43" s="134">
        <v>1.03</v>
      </c>
      <c r="J43" s="98"/>
      <c r="K43" s="98"/>
      <c r="L43" s="98"/>
      <c r="M43" s="98"/>
      <c r="N43" s="98"/>
    </row>
    <row r="44" spans="1:14" x14ac:dyDescent="0.3">
      <c r="A44" s="129" t="s">
        <v>123</v>
      </c>
      <c r="B44" s="130" t="s">
        <v>132</v>
      </c>
      <c r="C44" s="131">
        <v>0.33600000000000002</v>
      </c>
      <c r="D44" s="131" t="s">
        <v>130</v>
      </c>
      <c r="E44" s="131">
        <v>1.56</v>
      </c>
      <c r="F44" s="132" t="s">
        <v>274</v>
      </c>
      <c r="G44" s="133">
        <v>0.6</v>
      </c>
      <c r="H44" s="131" t="s">
        <v>283</v>
      </c>
      <c r="I44" s="134">
        <v>1.03</v>
      </c>
      <c r="J44" s="98"/>
      <c r="K44" s="98"/>
      <c r="L44" s="98"/>
      <c r="M44" s="98"/>
      <c r="N44" s="98"/>
    </row>
    <row r="45" spans="1:14" x14ac:dyDescent="0.3">
      <c r="A45" s="129" t="s">
        <v>110</v>
      </c>
      <c r="B45" s="130" t="s">
        <v>132</v>
      </c>
      <c r="C45" s="131">
        <v>0.32900000000000001</v>
      </c>
      <c r="D45" s="131" t="s">
        <v>130</v>
      </c>
      <c r="E45" s="131">
        <v>1.56</v>
      </c>
      <c r="F45" s="132" t="s">
        <v>274</v>
      </c>
      <c r="G45" s="133">
        <v>0.6</v>
      </c>
      <c r="H45" s="131" t="s">
        <v>283</v>
      </c>
      <c r="I45" s="134">
        <v>1.03</v>
      </c>
      <c r="J45" s="98"/>
      <c r="K45" s="98"/>
      <c r="L45" s="98"/>
      <c r="M45" s="98"/>
      <c r="N45" s="98"/>
    </row>
    <row r="46" spans="1:14" x14ac:dyDescent="0.3">
      <c r="A46" s="129" t="s">
        <v>124</v>
      </c>
      <c r="B46" s="130" t="s">
        <v>132</v>
      </c>
      <c r="C46" s="131">
        <v>0.34300000000000003</v>
      </c>
      <c r="D46" s="131" t="s">
        <v>130</v>
      </c>
      <c r="E46" s="131">
        <v>1.56</v>
      </c>
      <c r="F46" s="132" t="s">
        <v>274</v>
      </c>
      <c r="G46" s="133">
        <v>0.6</v>
      </c>
      <c r="H46" s="131" t="s">
        <v>283</v>
      </c>
      <c r="I46" s="134">
        <v>1.03</v>
      </c>
      <c r="J46" s="98"/>
      <c r="K46" s="98"/>
      <c r="L46" s="98"/>
      <c r="M46" s="98"/>
      <c r="N46" s="98"/>
    </row>
    <row r="47" spans="1:14" x14ac:dyDescent="0.3">
      <c r="A47" s="129" t="s">
        <v>125</v>
      </c>
      <c r="B47" s="130" t="s">
        <v>132</v>
      </c>
      <c r="C47" s="131">
        <v>0.32500000000000001</v>
      </c>
      <c r="D47" s="131" t="s">
        <v>130</v>
      </c>
      <c r="E47" s="131">
        <v>1.56</v>
      </c>
      <c r="F47" s="132" t="s">
        <v>274</v>
      </c>
      <c r="G47" s="133">
        <v>0.6</v>
      </c>
      <c r="H47" s="131" t="s">
        <v>283</v>
      </c>
      <c r="I47" s="134">
        <v>1.03</v>
      </c>
      <c r="J47" s="98"/>
      <c r="K47" s="98"/>
      <c r="L47" s="98"/>
      <c r="M47" s="98"/>
      <c r="N47" s="98"/>
    </row>
    <row r="48" spans="1:14" x14ac:dyDescent="0.3">
      <c r="A48" s="129" t="s">
        <v>126</v>
      </c>
      <c r="B48" s="130" t="s">
        <v>132</v>
      </c>
      <c r="C48" s="131">
        <v>0.32</v>
      </c>
      <c r="D48" s="131" t="s">
        <v>130</v>
      </c>
      <c r="E48" s="131">
        <v>1.56</v>
      </c>
      <c r="F48" s="132" t="s">
        <v>274</v>
      </c>
      <c r="G48" s="133">
        <v>0.6</v>
      </c>
      <c r="H48" s="131" t="s">
        <v>283</v>
      </c>
      <c r="I48" s="134">
        <v>1.03</v>
      </c>
      <c r="J48" s="98"/>
      <c r="K48" s="98"/>
      <c r="L48" s="98"/>
      <c r="M48" s="98"/>
      <c r="N48" s="98"/>
    </row>
    <row r="49" spans="1:14" x14ac:dyDescent="0.3">
      <c r="A49" s="129" t="s">
        <v>111</v>
      </c>
      <c r="B49" s="130" t="s">
        <v>132</v>
      </c>
      <c r="C49" s="131">
        <v>0.28199999999999997</v>
      </c>
      <c r="D49" s="131" t="s">
        <v>130</v>
      </c>
      <c r="E49" s="131">
        <v>1.56</v>
      </c>
      <c r="F49" s="132" t="s">
        <v>274</v>
      </c>
      <c r="G49" s="133">
        <v>0.6</v>
      </c>
      <c r="H49" s="131" t="s">
        <v>283</v>
      </c>
      <c r="I49" s="134">
        <v>1.03</v>
      </c>
      <c r="J49" s="98"/>
      <c r="K49" s="98"/>
      <c r="L49" s="98"/>
      <c r="M49" s="98"/>
      <c r="N49" s="98"/>
    </row>
    <row r="50" spans="1:14" x14ac:dyDescent="0.3">
      <c r="A50" s="129" t="s">
        <v>127</v>
      </c>
      <c r="B50" s="130" t="s">
        <v>132</v>
      </c>
      <c r="C50" s="131">
        <v>0.32800000000000001</v>
      </c>
      <c r="D50" s="131" t="s">
        <v>130</v>
      </c>
      <c r="E50" s="131">
        <v>1.56</v>
      </c>
      <c r="F50" s="132" t="s">
        <v>274</v>
      </c>
      <c r="G50" s="133">
        <v>0.6</v>
      </c>
      <c r="H50" s="131" t="s">
        <v>283</v>
      </c>
      <c r="I50" s="134">
        <v>1.03</v>
      </c>
      <c r="J50" s="98"/>
      <c r="K50" s="98"/>
      <c r="L50" s="98"/>
      <c r="M50" s="98"/>
      <c r="N50" s="98"/>
    </row>
    <row r="51" spans="1:14" x14ac:dyDescent="0.3">
      <c r="A51" s="129" t="s">
        <v>112</v>
      </c>
      <c r="B51" s="130" t="s">
        <v>132</v>
      </c>
      <c r="C51" s="131">
        <v>0.32600000000000001</v>
      </c>
      <c r="D51" s="131" t="s">
        <v>130</v>
      </c>
      <c r="E51" s="131">
        <v>1.56</v>
      </c>
      <c r="F51" s="132" t="s">
        <v>274</v>
      </c>
      <c r="G51" s="133">
        <v>0.6</v>
      </c>
      <c r="H51" s="131" t="s">
        <v>283</v>
      </c>
      <c r="I51" s="134">
        <v>1.03</v>
      </c>
      <c r="J51" s="98"/>
      <c r="K51" s="98"/>
      <c r="L51" s="98"/>
      <c r="M51" s="98"/>
      <c r="N51" s="98"/>
    </row>
    <row r="52" spans="1:14" x14ac:dyDescent="0.3">
      <c r="A52" s="129" t="s">
        <v>113</v>
      </c>
      <c r="B52" s="130" t="s">
        <v>132</v>
      </c>
      <c r="C52" s="131">
        <v>0.35899999999999999</v>
      </c>
      <c r="D52" s="131" t="s">
        <v>130</v>
      </c>
      <c r="E52" s="131">
        <v>1.56</v>
      </c>
      <c r="F52" s="132" t="s">
        <v>274</v>
      </c>
      <c r="G52" s="133">
        <v>0.6</v>
      </c>
      <c r="H52" s="131" t="s">
        <v>283</v>
      </c>
      <c r="I52" s="134">
        <v>1.03</v>
      </c>
      <c r="J52" s="98"/>
      <c r="K52" s="98"/>
      <c r="L52" s="98"/>
      <c r="M52" s="98"/>
      <c r="N52" s="98"/>
    </row>
    <row r="53" spans="1:14" x14ac:dyDescent="0.3">
      <c r="A53" s="129" t="s">
        <v>114</v>
      </c>
      <c r="B53" s="130" t="s">
        <v>132</v>
      </c>
      <c r="C53" s="131">
        <v>0.34599999999999997</v>
      </c>
      <c r="D53" s="131" t="s">
        <v>130</v>
      </c>
      <c r="E53" s="131">
        <v>1.56</v>
      </c>
      <c r="F53" s="132" t="s">
        <v>274</v>
      </c>
      <c r="G53" s="133">
        <v>0.6</v>
      </c>
      <c r="H53" s="131" t="s">
        <v>283</v>
      </c>
      <c r="I53" s="134">
        <v>1.03</v>
      </c>
      <c r="J53" s="98"/>
      <c r="K53" s="98"/>
      <c r="L53" s="98"/>
      <c r="M53" s="98"/>
      <c r="N53" s="98"/>
    </row>
    <row r="54" spans="1:14" x14ac:dyDescent="0.3">
      <c r="A54" s="129" t="s">
        <v>115</v>
      </c>
      <c r="B54" s="130" t="s">
        <v>132</v>
      </c>
      <c r="C54" s="131">
        <v>0.32600000000000001</v>
      </c>
      <c r="D54" s="131" t="s">
        <v>130</v>
      </c>
      <c r="E54" s="131">
        <v>1.56</v>
      </c>
      <c r="F54" s="132" t="s">
        <v>274</v>
      </c>
      <c r="G54" s="133">
        <v>0.6</v>
      </c>
      <c r="H54" s="131" t="s">
        <v>283</v>
      </c>
      <c r="I54" s="134">
        <v>1.03</v>
      </c>
      <c r="J54" s="98"/>
      <c r="K54" s="98"/>
      <c r="L54" s="98"/>
      <c r="M54" s="98"/>
      <c r="N54" s="98"/>
    </row>
    <row r="55" spans="1:14" x14ac:dyDescent="0.3">
      <c r="A55" s="129" t="s">
        <v>116</v>
      </c>
      <c r="B55" s="130" t="s">
        <v>132</v>
      </c>
      <c r="C55" s="131">
        <v>0.30499999999999999</v>
      </c>
      <c r="D55" s="131" t="s">
        <v>130</v>
      </c>
      <c r="E55" s="131">
        <v>1.56</v>
      </c>
      <c r="F55" s="132" t="s">
        <v>274</v>
      </c>
      <c r="G55" s="133">
        <v>0.6</v>
      </c>
      <c r="H55" s="131" t="s">
        <v>283</v>
      </c>
      <c r="I55" s="134">
        <v>1.03</v>
      </c>
      <c r="J55" s="98"/>
      <c r="K55" s="98"/>
      <c r="L55" s="98"/>
      <c r="M55" s="98"/>
      <c r="N55" s="98"/>
    </row>
    <row r="56" spans="1:14" x14ac:dyDescent="0.3">
      <c r="A56" s="129" t="s">
        <v>128</v>
      </c>
      <c r="B56" s="130" t="s">
        <v>132</v>
      </c>
      <c r="C56" s="131">
        <v>0.32300000000000001</v>
      </c>
      <c r="D56" s="131" t="s">
        <v>130</v>
      </c>
      <c r="E56" s="131">
        <v>1.56</v>
      </c>
      <c r="F56" s="132" t="s">
        <v>274</v>
      </c>
      <c r="G56" s="133">
        <v>0.6</v>
      </c>
      <c r="H56" s="131" t="s">
        <v>283</v>
      </c>
      <c r="I56" s="134">
        <v>1.03</v>
      </c>
      <c r="J56" s="98"/>
      <c r="K56" s="98"/>
      <c r="L56" s="98"/>
      <c r="M56" s="98"/>
      <c r="N56" s="98"/>
    </row>
    <row r="57" spans="1:14" x14ac:dyDescent="0.3">
      <c r="A57" s="129" t="s">
        <v>129</v>
      </c>
      <c r="B57" s="130" t="s">
        <v>132</v>
      </c>
      <c r="C57" s="131">
        <v>0.36699999999999999</v>
      </c>
      <c r="D57" s="131" t="s">
        <v>130</v>
      </c>
      <c r="E57" s="131">
        <v>1.56</v>
      </c>
      <c r="F57" s="132" t="s">
        <v>274</v>
      </c>
      <c r="G57" s="133">
        <v>0.6</v>
      </c>
      <c r="H57" s="131" t="s">
        <v>283</v>
      </c>
      <c r="I57" s="134">
        <v>1.03</v>
      </c>
      <c r="J57" s="98"/>
      <c r="K57" s="98"/>
      <c r="L57" s="98"/>
      <c r="M57" s="98"/>
      <c r="N57" s="98"/>
    </row>
    <row r="58" spans="1:14" x14ac:dyDescent="0.3">
      <c r="A58" s="129" t="s">
        <v>117</v>
      </c>
      <c r="B58" s="130" t="s">
        <v>132</v>
      </c>
      <c r="C58" s="131">
        <v>0.36</v>
      </c>
      <c r="D58" s="131" t="s">
        <v>130</v>
      </c>
      <c r="E58" s="131">
        <v>1.56</v>
      </c>
      <c r="F58" s="132" t="s">
        <v>274</v>
      </c>
      <c r="G58" s="133">
        <v>0.6</v>
      </c>
      <c r="H58" s="131" t="s">
        <v>283</v>
      </c>
      <c r="I58" s="134">
        <v>1.03</v>
      </c>
      <c r="J58" s="98"/>
      <c r="K58" s="98"/>
      <c r="L58" s="98"/>
      <c r="M58" s="98"/>
      <c r="N58" s="98"/>
    </row>
    <row r="59" spans="1:14" x14ac:dyDescent="0.3">
      <c r="A59" s="129" t="s">
        <v>118</v>
      </c>
      <c r="B59" s="130" t="s">
        <v>132</v>
      </c>
      <c r="C59" s="131">
        <v>0.36799999999999999</v>
      </c>
      <c r="D59" s="131" t="s">
        <v>130</v>
      </c>
      <c r="E59" s="131">
        <v>1.56</v>
      </c>
      <c r="F59" s="132" t="s">
        <v>274</v>
      </c>
      <c r="G59" s="133">
        <v>0.6</v>
      </c>
      <c r="H59" s="131" t="s">
        <v>283</v>
      </c>
      <c r="I59" s="134">
        <v>1.03</v>
      </c>
      <c r="J59" s="98"/>
      <c r="K59" s="98"/>
      <c r="L59" s="98"/>
      <c r="M59" s="98"/>
      <c r="N59" s="98"/>
    </row>
    <row r="60" spans="1:14" x14ac:dyDescent="0.3">
      <c r="A60" s="129" t="s">
        <v>119</v>
      </c>
      <c r="B60" s="130" t="s">
        <v>132</v>
      </c>
      <c r="C60" s="131">
        <v>0.30599999999999999</v>
      </c>
      <c r="D60" s="131" t="s">
        <v>130</v>
      </c>
      <c r="E60" s="131">
        <v>1.56</v>
      </c>
      <c r="F60" s="132" t="s">
        <v>274</v>
      </c>
      <c r="G60" s="133">
        <v>0.6</v>
      </c>
      <c r="H60" s="131" t="s">
        <v>283</v>
      </c>
      <c r="I60" s="134">
        <v>1.03</v>
      </c>
      <c r="J60" s="98"/>
      <c r="K60" s="98"/>
      <c r="L60" s="98"/>
      <c r="M60" s="98"/>
      <c r="N60" s="98"/>
    </row>
    <row r="61" spans="1:14" x14ac:dyDescent="0.3">
      <c r="A61" s="129" t="s">
        <v>120</v>
      </c>
      <c r="B61" s="130" t="s">
        <v>132</v>
      </c>
      <c r="C61" s="131">
        <v>0.313</v>
      </c>
      <c r="D61" s="131" t="s">
        <v>130</v>
      </c>
      <c r="E61" s="131">
        <v>1.56</v>
      </c>
      <c r="F61" s="132" t="s">
        <v>274</v>
      </c>
      <c r="G61" s="133">
        <v>0.6</v>
      </c>
      <c r="H61" s="131" t="s">
        <v>283</v>
      </c>
      <c r="I61" s="134">
        <v>1.03</v>
      </c>
      <c r="J61" s="98"/>
      <c r="K61" s="98"/>
      <c r="L61" s="98"/>
      <c r="M61" s="98"/>
      <c r="N61" s="98"/>
    </row>
    <row r="62" spans="1:14" x14ac:dyDescent="0.3">
      <c r="A62" s="129" t="s">
        <v>32</v>
      </c>
      <c r="B62" s="130" t="s">
        <v>133</v>
      </c>
      <c r="C62" s="131">
        <v>0.37</v>
      </c>
      <c r="D62" s="131" t="s">
        <v>161</v>
      </c>
      <c r="E62" s="131">
        <v>1.56</v>
      </c>
      <c r="F62" s="132" t="s">
        <v>274</v>
      </c>
      <c r="G62" s="133">
        <v>0.6</v>
      </c>
      <c r="H62" s="131" t="s">
        <v>283</v>
      </c>
      <c r="I62" s="134">
        <v>1.03</v>
      </c>
      <c r="J62" s="98"/>
      <c r="K62" s="98"/>
      <c r="L62" s="98"/>
      <c r="M62" s="98"/>
      <c r="N62" s="98"/>
    </row>
    <row r="63" spans="1:14" x14ac:dyDescent="0.3">
      <c r="A63" s="129" t="s">
        <v>90</v>
      </c>
      <c r="B63" s="130" t="s">
        <v>83</v>
      </c>
      <c r="C63" s="131">
        <v>0.45</v>
      </c>
      <c r="D63" s="131" t="s">
        <v>161</v>
      </c>
      <c r="E63" s="131">
        <v>1.3</v>
      </c>
      <c r="F63" s="132" t="s">
        <v>274</v>
      </c>
      <c r="G63" s="133">
        <v>0.45</v>
      </c>
      <c r="H63" s="131" t="s">
        <v>276</v>
      </c>
      <c r="I63" s="134">
        <v>0.43</v>
      </c>
      <c r="J63" s="98"/>
      <c r="K63" s="98"/>
      <c r="L63" s="98"/>
      <c r="M63" s="98"/>
      <c r="N63" s="98"/>
    </row>
    <row r="64" spans="1:14" x14ac:dyDescent="0.3">
      <c r="A64" s="129" t="s">
        <v>33</v>
      </c>
      <c r="B64" s="130" t="s">
        <v>134</v>
      </c>
      <c r="C64" s="131">
        <v>0.39</v>
      </c>
      <c r="D64" s="131" t="s">
        <v>161</v>
      </c>
      <c r="E64" s="131">
        <v>1.3</v>
      </c>
      <c r="F64" s="132" t="s">
        <v>274</v>
      </c>
      <c r="G64" s="133">
        <v>0.45</v>
      </c>
      <c r="H64" s="131" t="s">
        <v>276</v>
      </c>
      <c r="I64" s="134">
        <v>0.43</v>
      </c>
      <c r="J64" s="98"/>
      <c r="K64" s="98"/>
      <c r="L64" s="98"/>
      <c r="M64" s="98"/>
      <c r="N64" s="98"/>
    </row>
    <row r="65" spans="1:14" x14ac:dyDescent="0.3">
      <c r="A65" s="129" t="s">
        <v>34</v>
      </c>
      <c r="B65" s="130" t="s">
        <v>135</v>
      </c>
      <c r="C65" s="131">
        <v>0.44</v>
      </c>
      <c r="D65" s="131" t="s">
        <v>161</v>
      </c>
      <c r="E65" s="131">
        <v>1.3</v>
      </c>
      <c r="F65" s="132" t="s">
        <v>274</v>
      </c>
      <c r="G65" s="133">
        <v>0.45</v>
      </c>
      <c r="H65" s="131" t="s">
        <v>276</v>
      </c>
      <c r="I65" s="134">
        <v>0.43</v>
      </c>
      <c r="J65" s="98"/>
      <c r="K65" s="98"/>
      <c r="L65" s="98"/>
      <c r="M65" s="98"/>
      <c r="N65" s="98"/>
    </row>
    <row r="66" spans="1:14" x14ac:dyDescent="0.3">
      <c r="A66" s="129" t="s">
        <v>35</v>
      </c>
      <c r="B66" s="130" t="s">
        <v>84</v>
      </c>
      <c r="C66" s="131">
        <v>0.46</v>
      </c>
      <c r="D66" s="131" t="s">
        <v>161</v>
      </c>
      <c r="E66" s="131">
        <v>1.3</v>
      </c>
      <c r="F66" s="132" t="s">
        <v>274</v>
      </c>
      <c r="G66" s="133">
        <v>0.45</v>
      </c>
      <c r="H66" s="131" t="s">
        <v>276</v>
      </c>
      <c r="I66" s="134">
        <v>0.43</v>
      </c>
      <c r="J66" s="98"/>
      <c r="K66" s="98"/>
      <c r="L66" s="98"/>
      <c r="M66" s="98"/>
      <c r="N66" s="98"/>
    </row>
    <row r="67" spans="1:14" x14ac:dyDescent="0.3">
      <c r="A67" s="129" t="s">
        <v>36</v>
      </c>
      <c r="B67" s="130" t="s">
        <v>85</v>
      </c>
      <c r="C67" s="131">
        <v>0.46</v>
      </c>
      <c r="D67" s="131" t="s">
        <v>161</v>
      </c>
      <c r="E67" s="131">
        <v>1.3</v>
      </c>
      <c r="F67" s="132" t="s">
        <v>274</v>
      </c>
      <c r="G67" s="133">
        <v>0.45</v>
      </c>
      <c r="H67" s="131" t="s">
        <v>152</v>
      </c>
      <c r="I67" s="134">
        <v>0.59</v>
      </c>
      <c r="J67" s="98"/>
      <c r="K67" s="98"/>
      <c r="L67" s="98"/>
      <c r="M67" s="98"/>
      <c r="N67" s="98"/>
    </row>
    <row r="68" spans="1:14" x14ac:dyDescent="0.3">
      <c r="A68" s="129" t="s">
        <v>37</v>
      </c>
      <c r="B68" s="130" t="s">
        <v>136</v>
      </c>
      <c r="C68" s="131">
        <v>0.44</v>
      </c>
      <c r="D68" s="131" t="s">
        <v>161</v>
      </c>
      <c r="E68" s="131">
        <v>1.3</v>
      </c>
      <c r="F68" s="132" t="s">
        <v>274</v>
      </c>
      <c r="G68" s="133">
        <v>0.45</v>
      </c>
      <c r="H68" s="131" t="s">
        <v>276</v>
      </c>
      <c r="I68" s="134">
        <v>0.43</v>
      </c>
      <c r="J68" s="98"/>
      <c r="K68" s="98"/>
      <c r="L68" s="98"/>
      <c r="M68" s="98"/>
      <c r="N68" s="98"/>
    </row>
    <row r="69" spans="1:14" x14ac:dyDescent="0.3">
      <c r="A69" s="129" t="s">
        <v>38</v>
      </c>
      <c r="B69" s="130" t="s">
        <v>86</v>
      </c>
      <c r="C69" s="131">
        <v>0.46</v>
      </c>
      <c r="D69" s="131" t="s">
        <v>161</v>
      </c>
      <c r="E69" s="131">
        <v>1.3</v>
      </c>
      <c r="F69" s="132" t="s">
        <v>274</v>
      </c>
      <c r="G69" s="133">
        <v>0.45</v>
      </c>
      <c r="H69" s="131" t="s">
        <v>276</v>
      </c>
      <c r="I69" s="134">
        <v>0.43</v>
      </c>
      <c r="J69" s="98"/>
      <c r="K69" s="98"/>
      <c r="L69" s="98"/>
      <c r="M69" s="98"/>
      <c r="N69" s="98"/>
    </row>
    <row r="70" spans="1:14" x14ac:dyDescent="0.3">
      <c r="A70" s="129" t="s">
        <v>39</v>
      </c>
      <c r="B70" s="130" t="s">
        <v>137</v>
      </c>
      <c r="C70" s="131">
        <v>0.48</v>
      </c>
      <c r="D70" s="131" t="s">
        <v>161</v>
      </c>
      <c r="E70" s="131">
        <v>2.4</v>
      </c>
      <c r="F70" s="131" t="s">
        <v>284</v>
      </c>
      <c r="G70" s="133">
        <v>0.45</v>
      </c>
      <c r="H70" s="131" t="s">
        <v>276</v>
      </c>
      <c r="I70" s="134">
        <v>0.43</v>
      </c>
      <c r="J70" s="98"/>
      <c r="K70" s="98"/>
      <c r="L70" s="98"/>
      <c r="M70" s="98"/>
      <c r="N70" s="98"/>
    </row>
    <row r="71" spans="1:14" x14ac:dyDescent="0.3">
      <c r="A71" s="129" t="s">
        <v>40</v>
      </c>
      <c r="B71" s="130" t="s">
        <v>87</v>
      </c>
      <c r="C71" s="131">
        <v>0.46</v>
      </c>
      <c r="D71" s="131" t="s">
        <v>150</v>
      </c>
      <c r="E71" s="131">
        <v>1.3</v>
      </c>
      <c r="F71" s="132" t="s">
        <v>274</v>
      </c>
      <c r="G71" s="133">
        <v>0.45</v>
      </c>
      <c r="H71" s="131" t="s">
        <v>276</v>
      </c>
      <c r="I71" s="134">
        <v>0.43</v>
      </c>
      <c r="J71" s="98"/>
      <c r="K71" s="98"/>
      <c r="L71" s="98"/>
      <c r="M71" s="98"/>
      <c r="N71" s="98"/>
    </row>
    <row r="72" spans="1:14" x14ac:dyDescent="0.3">
      <c r="A72" s="129" t="s">
        <v>41</v>
      </c>
      <c r="B72" s="130" t="s">
        <v>88</v>
      </c>
      <c r="C72" s="131">
        <v>0.44</v>
      </c>
      <c r="D72" s="131" t="s">
        <v>161</v>
      </c>
      <c r="E72" s="131">
        <v>1.3</v>
      </c>
      <c r="F72" s="132" t="s">
        <v>274</v>
      </c>
      <c r="G72" s="133">
        <v>0.45</v>
      </c>
      <c r="H72" s="131" t="s">
        <v>276</v>
      </c>
      <c r="I72" s="134">
        <v>0.43</v>
      </c>
      <c r="J72" s="98"/>
      <c r="K72" s="98"/>
      <c r="L72" s="98"/>
      <c r="M72" s="98"/>
      <c r="N72" s="98"/>
    </row>
    <row r="73" spans="1:14" x14ac:dyDescent="0.3">
      <c r="A73" s="129" t="s">
        <v>138</v>
      </c>
      <c r="B73" s="130" t="s">
        <v>140</v>
      </c>
      <c r="C73" s="131">
        <v>0.46</v>
      </c>
      <c r="D73" s="131" t="s">
        <v>151</v>
      </c>
      <c r="E73" s="131">
        <v>1.3</v>
      </c>
      <c r="F73" s="132" t="s">
        <v>274</v>
      </c>
      <c r="G73" s="133">
        <v>0.45</v>
      </c>
      <c r="H73" s="131" t="s">
        <v>276</v>
      </c>
      <c r="I73" s="134">
        <v>0.43</v>
      </c>
      <c r="J73" s="98"/>
      <c r="K73" s="98"/>
      <c r="L73" s="98"/>
      <c r="M73" s="98"/>
      <c r="N73" s="98"/>
    </row>
    <row r="74" spans="1:14" x14ac:dyDescent="0.3">
      <c r="A74" s="129" t="s">
        <v>42</v>
      </c>
      <c r="B74" s="130" t="s">
        <v>139</v>
      </c>
      <c r="C74" s="131">
        <v>0.34</v>
      </c>
      <c r="D74" s="131" t="s">
        <v>161</v>
      </c>
      <c r="E74" s="131">
        <v>1.3</v>
      </c>
      <c r="F74" s="132" t="s">
        <v>274</v>
      </c>
      <c r="G74" s="133">
        <v>0.45</v>
      </c>
      <c r="H74" s="131" t="s">
        <v>276</v>
      </c>
      <c r="I74" s="134">
        <v>0.43</v>
      </c>
      <c r="J74" s="98"/>
      <c r="K74" s="98"/>
      <c r="L74" s="98"/>
      <c r="M74" s="98"/>
      <c r="N74" s="98"/>
    </row>
    <row r="75" spans="1:14" x14ac:dyDescent="0.3">
      <c r="A75" s="129" t="s">
        <v>43</v>
      </c>
      <c r="B75" s="130" t="s">
        <v>162</v>
      </c>
      <c r="C75" s="131">
        <v>0.5</v>
      </c>
      <c r="D75" s="131" t="s">
        <v>161</v>
      </c>
      <c r="E75" s="131">
        <v>1.56</v>
      </c>
      <c r="F75" s="132" t="s">
        <v>274</v>
      </c>
      <c r="G75" s="133">
        <v>0.53</v>
      </c>
      <c r="H75" s="131" t="s">
        <v>275</v>
      </c>
      <c r="I75" s="134">
        <v>0.25</v>
      </c>
      <c r="J75" s="98"/>
      <c r="K75" s="98"/>
      <c r="L75" s="98"/>
      <c r="M75" s="98"/>
      <c r="N75" s="98"/>
    </row>
    <row r="76" spans="1:14" x14ac:dyDescent="0.3">
      <c r="A76" s="129" t="s">
        <v>44</v>
      </c>
      <c r="B76" s="130" t="s">
        <v>89</v>
      </c>
      <c r="C76" s="131">
        <v>0.57999999999999996</v>
      </c>
      <c r="D76" s="131" t="s">
        <v>161</v>
      </c>
      <c r="E76" s="131">
        <v>1.56</v>
      </c>
      <c r="F76" s="132" t="s">
        <v>274</v>
      </c>
      <c r="G76" s="133">
        <v>0.3</v>
      </c>
      <c r="H76" s="131" t="s">
        <v>277</v>
      </c>
      <c r="I76" s="134">
        <v>0.25</v>
      </c>
      <c r="J76" s="98"/>
      <c r="K76" s="98"/>
      <c r="L76" s="98"/>
      <c r="M76" s="98"/>
      <c r="N76" s="98"/>
    </row>
    <row r="77" spans="1:14" x14ac:dyDescent="0.3">
      <c r="A77" s="129" t="s">
        <v>47</v>
      </c>
      <c r="B77" s="130" t="s">
        <v>141</v>
      </c>
      <c r="C77" s="131">
        <v>0.37</v>
      </c>
      <c r="D77" s="131" t="s">
        <v>161</v>
      </c>
      <c r="E77" s="131">
        <v>1.3</v>
      </c>
      <c r="F77" s="132" t="s">
        <v>274</v>
      </c>
      <c r="G77" s="133">
        <v>0.55000000000000004</v>
      </c>
      <c r="H77" s="131" t="s">
        <v>152</v>
      </c>
      <c r="I77" s="134">
        <v>0.43</v>
      </c>
      <c r="J77" s="98"/>
      <c r="K77" s="98"/>
      <c r="L77" s="98"/>
      <c r="M77" s="98"/>
      <c r="N77" s="98"/>
    </row>
    <row r="78" spans="1:14" x14ac:dyDescent="0.3">
      <c r="A78" s="129" t="s">
        <v>45</v>
      </c>
      <c r="B78" s="130" t="s">
        <v>96</v>
      </c>
      <c r="C78" s="131">
        <v>0.37</v>
      </c>
      <c r="D78" s="131" t="s">
        <v>161</v>
      </c>
      <c r="E78" s="131">
        <v>1.3</v>
      </c>
      <c r="F78" s="132" t="s">
        <v>274</v>
      </c>
      <c r="G78" s="133">
        <v>0.55000000000000004</v>
      </c>
      <c r="H78" s="131" t="s">
        <v>152</v>
      </c>
      <c r="I78" s="134">
        <v>0.43</v>
      </c>
      <c r="J78" s="98"/>
      <c r="K78" s="98"/>
      <c r="L78" s="98"/>
      <c r="M78" s="98"/>
      <c r="N78" s="98"/>
    </row>
    <row r="79" spans="1:14" x14ac:dyDescent="0.3">
      <c r="A79" s="129" t="s">
        <v>46</v>
      </c>
      <c r="B79" s="130" t="s">
        <v>95</v>
      </c>
      <c r="C79" s="131">
        <v>0.38</v>
      </c>
      <c r="D79" s="131" t="s">
        <v>161</v>
      </c>
      <c r="E79" s="131">
        <v>1.3</v>
      </c>
      <c r="F79" s="132" t="s">
        <v>274</v>
      </c>
      <c r="G79" s="133">
        <v>0.55000000000000004</v>
      </c>
      <c r="H79" s="131" t="s">
        <v>153</v>
      </c>
      <c r="I79" s="134">
        <v>0.43</v>
      </c>
      <c r="J79" s="98"/>
      <c r="K79" s="98"/>
      <c r="L79" s="98"/>
      <c r="M79" s="98"/>
      <c r="N79" s="98"/>
    </row>
    <row r="80" spans="1:14" x14ac:dyDescent="0.3">
      <c r="A80" s="129" t="s">
        <v>48</v>
      </c>
      <c r="B80" s="130" t="s">
        <v>94</v>
      </c>
      <c r="C80" s="131">
        <v>0.36</v>
      </c>
      <c r="D80" s="131" t="s">
        <v>161</v>
      </c>
      <c r="E80" s="131">
        <v>1.3</v>
      </c>
      <c r="F80" s="132" t="s">
        <v>274</v>
      </c>
      <c r="G80" s="133">
        <v>0.55000000000000004</v>
      </c>
      <c r="H80" s="131" t="s">
        <v>153</v>
      </c>
      <c r="I80" s="134">
        <v>0.43</v>
      </c>
      <c r="J80" s="98"/>
      <c r="K80" s="98"/>
      <c r="L80" s="98"/>
      <c r="M80" s="98"/>
      <c r="N80" s="98"/>
    </row>
    <row r="81" spans="1:14" x14ac:dyDescent="0.3">
      <c r="A81" s="129" t="s">
        <v>49</v>
      </c>
      <c r="B81" s="130" t="s">
        <v>142</v>
      </c>
      <c r="C81" s="131">
        <v>0.37</v>
      </c>
      <c r="D81" s="131" t="s">
        <v>161</v>
      </c>
      <c r="E81" s="131">
        <v>1.56</v>
      </c>
      <c r="F81" s="132" t="s">
        <v>274</v>
      </c>
      <c r="G81" s="133">
        <v>0.43</v>
      </c>
      <c r="H81" s="131" t="s">
        <v>278</v>
      </c>
      <c r="I81" s="134">
        <v>0.25</v>
      </c>
      <c r="J81" s="98"/>
      <c r="K81" s="98"/>
      <c r="L81" s="98"/>
      <c r="M81" s="98"/>
      <c r="N81" s="98"/>
    </row>
    <row r="82" spans="1:14" x14ac:dyDescent="0.3">
      <c r="A82" s="129" t="s">
        <v>158</v>
      </c>
      <c r="B82" s="130" t="s">
        <v>159</v>
      </c>
      <c r="C82" s="131">
        <v>0.35</v>
      </c>
      <c r="D82" s="131" t="s">
        <v>160</v>
      </c>
      <c r="E82" s="131">
        <v>1.3</v>
      </c>
      <c r="F82" s="132" t="s">
        <v>274</v>
      </c>
      <c r="G82" s="133">
        <v>0.55000000000000004</v>
      </c>
      <c r="H82" s="131" t="s">
        <v>153</v>
      </c>
      <c r="I82" s="134">
        <v>0.43</v>
      </c>
      <c r="J82" s="98"/>
      <c r="K82" s="98"/>
      <c r="L82" s="98"/>
      <c r="M82" s="98"/>
      <c r="N82" s="98"/>
    </row>
    <row r="83" spans="1:14" x14ac:dyDescent="0.3">
      <c r="A83" s="129" t="s">
        <v>156</v>
      </c>
      <c r="B83" s="130" t="s">
        <v>157</v>
      </c>
      <c r="C83" s="131">
        <v>0.34</v>
      </c>
      <c r="D83" s="131" t="s">
        <v>161</v>
      </c>
      <c r="E83" s="131">
        <v>1.3</v>
      </c>
      <c r="F83" s="132" t="s">
        <v>274</v>
      </c>
      <c r="G83" s="133">
        <v>0.55000000000000004</v>
      </c>
      <c r="H83" s="131" t="s">
        <v>153</v>
      </c>
      <c r="I83" s="134">
        <v>0.43</v>
      </c>
      <c r="J83" s="98"/>
      <c r="K83" s="98"/>
      <c r="L83" s="98"/>
      <c r="M83" s="98"/>
      <c r="N83" s="98"/>
    </row>
    <row r="84" spans="1:14" x14ac:dyDescent="0.3">
      <c r="A84" s="129" t="s">
        <v>92</v>
      </c>
      <c r="B84" s="130" t="s">
        <v>93</v>
      </c>
      <c r="C84" s="131">
        <v>0.31</v>
      </c>
      <c r="D84" s="131" t="s">
        <v>161</v>
      </c>
      <c r="E84" s="131">
        <v>1.3</v>
      </c>
      <c r="F84" s="132" t="s">
        <v>274</v>
      </c>
      <c r="G84" s="133">
        <v>0.55000000000000004</v>
      </c>
      <c r="H84" s="131" t="s">
        <v>153</v>
      </c>
      <c r="I84" s="134">
        <v>0.43</v>
      </c>
      <c r="J84" s="98"/>
      <c r="K84" s="98"/>
      <c r="L84" s="98"/>
      <c r="M84" s="98"/>
      <c r="N84" s="98"/>
    </row>
    <row r="85" spans="1:14" x14ac:dyDescent="0.3">
      <c r="A85" s="129" t="s">
        <v>50</v>
      </c>
      <c r="B85" s="130" t="s">
        <v>143</v>
      </c>
      <c r="C85" s="131">
        <v>0.43</v>
      </c>
      <c r="D85" s="131" t="s">
        <v>161</v>
      </c>
      <c r="E85" s="131">
        <v>1.56</v>
      </c>
      <c r="F85" s="132" t="s">
        <v>274</v>
      </c>
      <c r="G85" s="133">
        <v>0.53</v>
      </c>
      <c r="H85" s="131" t="s">
        <v>275</v>
      </c>
      <c r="I85" s="134">
        <v>0.25</v>
      </c>
      <c r="J85" s="98"/>
      <c r="K85" s="98"/>
      <c r="L85" s="98"/>
      <c r="M85" s="98"/>
      <c r="N85" s="98"/>
    </row>
    <row r="86" spans="1:14" x14ac:dyDescent="0.3">
      <c r="A86" s="129" t="s">
        <v>51</v>
      </c>
      <c r="B86" s="130" t="s">
        <v>91</v>
      </c>
      <c r="C86" s="131">
        <v>0.38</v>
      </c>
      <c r="D86" s="131" t="s">
        <v>161</v>
      </c>
      <c r="E86" s="131">
        <v>1.56</v>
      </c>
      <c r="F86" s="132" t="s">
        <v>274</v>
      </c>
      <c r="G86" s="133">
        <v>0.6</v>
      </c>
      <c r="H86" s="131" t="s">
        <v>279</v>
      </c>
      <c r="I86" s="134">
        <v>0.25</v>
      </c>
      <c r="J86" s="98"/>
      <c r="K86" s="98"/>
      <c r="L86" s="98"/>
      <c r="M86" s="98"/>
      <c r="N86" s="98"/>
    </row>
    <row r="87" spans="1:14" x14ac:dyDescent="0.3">
      <c r="A87" s="284" t="s">
        <v>321</v>
      </c>
      <c r="B87" s="285" t="s">
        <v>322</v>
      </c>
      <c r="C87" s="286">
        <v>0.41</v>
      </c>
      <c r="D87" s="286" t="s">
        <v>323</v>
      </c>
      <c r="E87" s="286">
        <v>1.56</v>
      </c>
      <c r="F87" s="287" t="s">
        <v>274</v>
      </c>
      <c r="G87" s="288">
        <v>0.43</v>
      </c>
      <c r="H87" s="286" t="s">
        <v>278</v>
      </c>
      <c r="I87" s="289">
        <v>0.25</v>
      </c>
      <c r="J87" s="98"/>
      <c r="K87" s="98"/>
      <c r="L87" s="98"/>
      <c r="M87" s="98"/>
      <c r="N87" s="98"/>
    </row>
    <row r="88" spans="1:14" x14ac:dyDescent="0.3">
      <c r="A88" s="129" t="s">
        <v>148</v>
      </c>
      <c r="B88" s="137"/>
      <c r="C88" s="131">
        <v>0.42</v>
      </c>
      <c r="D88" s="131" t="s">
        <v>161</v>
      </c>
      <c r="E88" s="131">
        <v>1.3</v>
      </c>
      <c r="F88" s="132" t="s">
        <v>274</v>
      </c>
      <c r="G88" s="138"/>
      <c r="H88" s="137"/>
      <c r="I88" s="139"/>
    </row>
    <row r="89" spans="1:14" ht="15" thickBot="1" x14ac:dyDescent="0.35">
      <c r="A89" s="140" t="s">
        <v>149</v>
      </c>
      <c r="B89" s="141"/>
      <c r="C89" s="142">
        <v>0.56999999999999995</v>
      </c>
      <c r="D89" s="143" t="s">
        <v>161</v>
      </c>
      <c r="E89" s="142">
        <v>1.56</v>
      </c>
      <c r="F89" s="142" t="s">
        <v>274</v>
      </c>
      <c r="G89" s="141"/>
      <c r="H89" s="141"/>
      <c r="I89" s="144"/>
    </row>
    <row r="93" spans="1:14" x14ac:dyDescent="0.3">
      <c r="A93" s="129" t="s">
        <v>208</v>
      </c>
    </row>
    <row r="94" spans="1:14" x14ac:dyDescent="0.3">
      <c r="A94" s="129" t="s">
        <v>209</v>
      </c>
    </row>
    <row r="95" spans="1:14" x14ac:dyDescent="0.3">
      <c r="A95" s="129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zoomScale="90" zoomScaleNormal="90" workbookViewId="0">
      <selection activeCell="M27" sqref="M27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0"/>
      <c r="J1" s="70"/>
      <c r="K1" s="70"/>
      <c r="L1" s="70"/>
      <c r="M1" s="70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6" t="s">
        <v>271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8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29"/>
      <c r="J3" s="229"/>
      <c r="K3" s="229"/>
      <c r="L3" s="229"/>
      <c r="M3" s="229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29"/>
      <c r="J4" s="229"/>
      <c r="K4" s="229"/>
      <c r="L4" s="229"/>
      <c r="M4" s="229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5" t="s">
        <v>207</v>
      </c>
      <c r="B5" s="146" t="s">
        <v>250</v>
      </c>
      <c r="C5" s="147" t="str">
        <f>Calculateur!S2</f>
        <v>ΔStock moyen de long terme (tCO₂/ha)</v>
      </c>
      <c r="D5" s="147" t="str">
        <f>Calculateur!T2</f>
        <v>Δstock CO₂ 30 ans (tCO₂/ha)</v>
      </c>
      <c r="E5" s="147" t="s">
        <v>228</v>
      </c>
      <c r="F5" s="147" t="s">
        <v>239</v>
      </c>
      <c r="G5" s="147" t="s">
        <v>240</v>
      </c>
      <c r="H5" s="148" t="s">
        <v>241</v>
      </c>
      <c r="I5" s="149" t="s">
        <v>242</v>
      </c>
      <c r="J5" s="150" t="s">
        <v>243</v>
      </c>
      <c r="K5" s="151" t="s">
        <v>244</v>
      </c>
      <c r="L5" s="89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2" t="str">
        <f>IF('Données projet'!$B$9="","",'Données projet'!$B$9)</f>
        <v>Pin d'Alep</v>
      </c>
      <c r="B6" s="153">
        <f>'Données projet'!D9</f>
        <v>1.079952</v>
      </c>
      <c r="C6" s="154">
        <f ca="1">IF(OR('Données projet'!B9="",'Données projet'!C9="",'Données projet'!C9=0%),0,Calculateur!S3)</f>
        <v>210.54472399593521</v>
      </c>
      <c r="D6" s="154">
        <f>IF(OR('Données projet'!B9="",'Données projet'!C9="",'Données projet'!C9=0%),0,Calculateur!T3)</f>
        <v>181.14158435194193</v>
      </c>
      <c r="E6" s="154">
        <f ca="1">MIN(C6,D6)</f>
        <v>181.14158435194193</v>
      </c>
      <c r="F6" s="154">
        <f ca="1">E6*B6</f>
        <v>195.62421630404839</v>
      </c>
      <c r="G6" s="154">
        <f ca="1">F6*(100%-'Données projet'!$C$24)*(100%-'Données projet'!$C$25)*(100%-'Données projet'!$C$26)*(100%-'Données projet'!$C$27)</f>
        <v>149.65252547259703</v>
      </c>
      <c r="H6" s="155">
        <f>IF(OR('Données projet'!B9="",'Données projet'!C9="",'Données projet'!C9=0%),0,AVERAGE(Calculateur!$AC$3:$AC$33)*B6)</f>
        <v>0</v>
      </c>
      <c r="I6" s="156">
        <f>H6*(100%-'Données projet'!$C$24)*(100%-'Données projet'!$C$25)*(100%-'Données projet'!$C$26)*(100%-'Données projet'!$C$27)</f>
        <v>0</v>
      </c>
      <c r="J6" s="157">
        <f>IF(OR('Données projet'!B9="",'Données projet'!C9="",'Données projet'!C9=0%),0,SUM(Calculateur!$V$3:$V$33)*VLOOKUP('Données projet'!$B$9,Paramètres!$A$1:$I$89,9,0)*B6)</f>
        <v>0</v>
      </c>
      <c r="K6" s="158">
        <f>J6*(100%-'Données projet'!$C$24)*(100%-'Données projet'!$C$25)*(100%-'Données projet'!$C$26)*(100%-'Données projet'!$C$27)</f>
        <v>0</v>
      </c>
      <c r="L6" s="159">
        <f ca="1">G6+I6+K6</f>
        <v>149.65252547259703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0" t="str">
        <f>IF('Données projet'!$B$10="","",'Données projet'!$B$10)</f>
        <v>Cyprès de Provence</v>
      </c>
      <c r="B7" s="161">
        <f>'Données projet'!D10</f>
        <v>1.03586</v>
      </c>
      <c r="C7" s="154">
        <f ca="1">IF(OR('Données projet'!B10="",'Données projet'!C10="",'Données projet'!C10=0%),0,Calculateur!AN3)</f>
        <v>289.05608923588198</v>
      </c>
      <c r="D7" s="154">
        <f>IF(OR('Données projet'!B10="",'Données projet'!C10="",'Données projet'!C10=0%),0,Calculateur!AO3)</f>
        <v>220.06639020312738</v>
      </c>
      <c r="E7" s="154">
        <f t="shared" ref="E7:E15" ca="1" si="0">MIN(C7,D7)</f>
        <v>220.06639020312738</v>
      </c>
      <c r="F7" s="154">
        <f t="shared" ref="F7:F15" ca="1" si="1">E7*B7</f>
        <v>227.95797095581153</v>
      </c>
      <c r="G7" s="154">
        <f ca="1">F7*(100%-'Données projet'!$C$24)*(100%-'Données projet'!$C$25)*(100%-'Données projet'!$C$26)*(100%-'Données projet'!$C$27)</f>
        <v>174.38784778119583</v>
      </c>
      <c r="H7" s="162">
        <f>IF(OR('Données projet'!B10="",'Données projet'!C10="",'Données projet'!C10=0%),0,AVERAGE(Calculateur!$AX$3:$AX$33)*B7)</f>
        <v>0</v>
      </c>
      <c r="I7" s="156">
        <f>H7*(100%-'Données projet'!$C$24)*(100%-'Données projet'!$C$25)*(100%-'Données projet'!$C$26)*(100%-'Données projet'!$C$27)</f>
        <v>0</v>
      </c>
      <c r="J7" s="157">
        <f>IF(OR('Données projet'!B10="",'Données projet'!C10="",'Données projet'!C10=0%),0,SUM(Calculateur!$AQ$3:$AQ$33)*VLOOKUP('Données projet'!$B$10,Paramètres!$A$1:$I$89,9,0)*B7)</f>
        <v>0</v>
      </c>
      <c r="K7" s="158">
        <f>J7*(100%-'Données projet'!$C$24)*(100%-'Données projet'!$C$25)*(100%-'Données projet'!$C$26)*(100%-'Données projet'!$C$27)</f>
        <v>0</v>
      </c>
      <c r="L7" s="159">
        <f t="shared" ref="L7:L15" ca="1" si="2">G7+I7+K7</f>
        <v>174.38784778119583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0" t="str">
        <f>IF('Données projet'!$B$11="","",'Données projet'!$B$11)</f>
        <v>Pin pignon</v>
      </c>
      <c r="B8" s="161">
        <f>'Données projet'!D11</f>
        <v>0.80996400000000002</v>
      </c>
      <c r="C8" s="154">
        <f ca="1">IF(OR('Données projet'!B11="",'Données projet'!C11="",'Données projet'!C11=0%),0,Calculateur!BI3)</f>
        <v>299.54950406029354</v>
      </c>
      <c r="D8" s="154">
        <f>IF(OR('Données projet'!B11="",'Données projet'!C11="",'Données projet'!C11=0%),0,Calculateur!BJ3)</f>
        <v>208.26364698165739</v>
      </c>
      <c r="E8" s="154">
        <f t="shared" ca="1" si="0"/>
        <v>208.26364698165739</v>
      </c>
      <c r="F8" s="154">
        <f t="shared" ca="1" si="1"/>
        <v>168.68605656385114</v>
      </c>
      <c r="G8" s="154">
        <f ca="1">F8*(100%-'Données projet'!$C$24)*(100%-'Données projet'!$C$25)*(100%-'Données projet'!$C$26)*(100%-'Données projet'!$C$27)</f>
        <v>129.04483327134611</v>
      </c>
      <c r="H8" s="162">
        <f>IF(OR('Données projet'!B11="",'Données projet'!C11="",'Données projet'!C11=0%),0,AVERAGE(Calculateur!$BS$3:$BS$33)*B8)</f>
        <v>0</v>
      </c>
      <c r="I8" s="156">
        <f>H8*(100%-'Données projet'!$C$24)*(100%-'Données projet'!$C$25)*(100%-'Données projet'!$C$26)*(100%-'Données projet'!$C$27)</f>
        <v>0</v>
      </c>
      <c r="J8" s="157">
        <f>IF(OR('Données projet'!B11="",'Données projet'!C11="",'Données projet'!C11=0%),0,SUM(Calculateur!$BL$3:$BL$33)*VLOOKUP('Données projet'!$B$11,Paramètres!$A$1:$I$89,9,0)*B8)</f>
        <v>3.9617364150000003</v>
      </c>
      <c r="K8" s="158">
        <f>J8*(100%-'Données projet'!$C$24)*(100%-'Données projet'!$C$25)*(100%-'Données projet'!$C$26)*(100%-'Données projet'!$C$27)</f>
        <v>3.0307283574750001</v>
      </c>
      <c r="L8" s="159">
        <f t="shared" ca="1" si="2"/>
        <v>132.07556162882111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0" t="str">
        <f>IF('Données projet'!$B$12="","",'Données projet'!$B$12)</f>
        <v>Cormier</v>
      </c>
      <c r="B9" s="161">
        <f>'Données projet'!D12</f>
        <v>1.2502799999999998</v>
      </c>
      <c r="C9" s="154">
        <f ca="1">IF(OR('Données projet'!B12="",'Données projet'!C12="",'Données projet'!C12=0%),0,Calculateur!CD3)</f>
        <v>441.30518831297212</v>
      </c>
      <c r="D9" s="154">
        <f>IF(OR('Données projet'!B12="",'Données projet'!C12="",'Données projet'!C12=0%),0,Calculateur!CE3)</f>
        <v>270.42872405271851</v>
      </c>
      <c r="E9" s="154">
        <f t="shared" ca="1" si="0"/>
        <v>270.42872405271851</v>
      </c>
      <c r="F9" s="154">
        <f t="shared" ca="1" si="1"/>
        <v>338.11162510863284</v>
      </c>
      <c r="G9" s="154">
        <f ca="1">F9*(100%-'Données projet'!$C$24)*(100%-'Données projet'!$C$25)*(100%-'Données projet'!$C$26)*(100%-'Données projet'!$C$27)</f>
        <v>258.65539320810416</v>
      </c>
      <c r="H9" s="162">
        <f>IF(OR('Données projet'!B12="",'Données projet'!C12="",'Données projet'!C12=0%),0,AVERAGE(Calculateur!$CN$3:$CN$33)*B9)</f>
        <v>0</v>
      </c>
      <c r="I9" s="156">
        <f>H9*(100%-'Données projet'!$C$24)*(100%-'Données projet'!$C$25)*(100%-'Données projet'!$C$26)*(100%-'Données projet'!$C$27)</f>
        <v>0</v>
      </c>
      <c r="J9" s="157">
        <f>IF(OR('Données projet'!B12="",'Données projet'!C12="",'Données projet'!C12=0%),0,SUM(Calculateur!$CG$3:$CG$33)*VLOOKUP('Données projet'!$B$12,Paramètres!$A$1:$I$89,9,0)*B9)</f>
        <v>5.4098653846153839</v>
      </c>
      <c r="K9" s="158">
        <f>J9*(100%-'Données projet'!$C$24)*(100%-'Données projet'!$C$25)*(100%-'Données projet'!$C$26)*(100%-'Données projet'!$C$27)</f>
        <v>4.1385470192307681</v>
      </c>
      <c r="L9" s="159">
        <f t="shared" ca="1" si="2"/>
        <v>262.79394022733493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0" t="str">
        <f>IF('Données projet'!$B$13="","",'Données projet'!$B$13)</f>
        <v>Erable champêtre</v>
      </c>
      <c r="B10" s="161">
        <f>'Données projet'!D13</f>
        <v>0.50615199999999994</v>
      </c>
      <c r="C10" s="154">
        <f ca="1">IF(OR('Données projet'!B13="",'Données projet'!C13="",'Données projet'!C13=0%),0,Calculateur!CY3)</f>
        <v>310.81258463659196</v>
      </c>
      <c r="D10" s="154">
        <f>IF(OR('Données projet'!B13="",'Données projet'!C13="",'Données projet'!C13=0%),0,Calculateur!CZ3)</f>
        <v>287.31099756692083</v>
      </c>
      <c r="E10" s="154">
        <f t="shared" ca="1" si="0"/>
        <v>287.31099756692083</v>
      </c>
      <c r="F10" s="154">
        <f t="shared" ca="1" si="1"/>
        <v>145.42303604049209</v>
      </c>
      <c r="G10" s="154">
        <f ca="1">F10*(100%-'Données projet'!$C$24)*(100%-'Données projet'!$C$25)*(100%-'Données projet'!$C$26)*(100%-'Données projet'!$C$27)</f>
        <v>111.24862257097645</v>
      </c>
      <c r="H10" s="162">
        <f>IF(OR('Données projet'!B13="",'Données projet'!C13="",'Données projet'!C13=0%),0,AVERAGE(Calculateur!$DI$3:$DI$33)*B10)</f>
        <v>0</v>
      </c>
      <c r="I10" s="156">
        <f>H10*(100%-'Données projet'!$C$24)*(100%-'Données projet'!$C$25)*(100%-'Données projet'!$C$26)*(100%-'Données projet'!$C$27)</f>
        <v>0</v>
      </c>
      <c r="J10" s="157">
        <f>IF(OR('Données projet'!B13="",'Données projet'!C13="",'Données projet'!C13=0%),0,SUM(Calculateur!$DB$3:$DB$33)*VLOOKUP('Données projet'!$B$13,Paramètres!$A$1:$I$89,9,0)*B10)</f>
        <v>5.314595999999999</v>
      </c>
      <c r="K10" s="158">
        <f>J10*(100%-'Données projet'!$C$24)*(100%-'Données projet'!$C$25)*(100%-'Données projet'!$C$26)*(100%-'Données projet'!$C$27)</f>
        <v>4.0656659399999988</v>
      </c>
      <c r="L10" s="159">
        <f t="shared" ca="1" si="2"/>
        <v>115.31428851097645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0" t="str">
        <f>IF('Données projet'!$B$14="","",'Données projet'!$B$14)</f>
        <v>Chêne chevelu</v>
      </c>
      <c r="B11" s="161">
        <f>'Données projet'!D14</f>
        <v>0.33401200000000003</v>
      </c>
      <c r="C11" s="154">
        <f ca="1">IF(OR('Données projet'!B14="",'Données projet'!C14="",'Données projet'!C14=0%),0,Calculateur!DT3)</f>
        <v>431.19274104373625</v>
      </c>
      <c r="D11" s="154">
        <f>IF(OR('Données projet'!B14="",'Données projet'!C14="",'Données projet'!C14=0%),0,Calculateur!DU3)</f>
        <v>264.67919175178133</v>
      </c>
      <c r="E11" s="154">
        <f t="shared" ca="1" si="0"/>
        <v>264.67919175178133</v>
      </c>
      <c r="F11" s="154">
        <f t="shared" ca="1" si="1"/>
        <v>88.406026195395995</v>
      </c>
      <c r="G11" s="154">
        <f ca="1">F11*(100%-'Données projet'!$C$24)*(100%-'Données projet'!$C$25)*(100%-'Données projet'!$C$26)*(100%-'Données projet'!$C$27)</f>
        <v>67.630610039477943</v>
      </c>
      <c r="H11" s="162">
        <f>IF(OR('Données projet'!B14="",'Données projet'!C14="",'Données projet'!C14=0%),0,AVERAGE(Calculateur!$ED$3:$ED$33)*B11)</f>
        <v>0</v>
      </c>
      <c r="I11" s="156">
        <f>H11*(100%-'Données projet'!$C$24)*(100%-'Données projet'!$C$25)*(100%-'Données projet'!$C$26)*(100%-'Données projet'!$C$27)</f>
        <v>0</v>
      </c>
      <c r="J11" s="157">
        <f>IF(OR('Données projet'!B14="",'Données projet'!C14="",'Données projet'!C14=0%),0,SUM(Calculateur!$DW$3:$DW$33)*VLOOKUP('Données projet'!$B$14,Paramètres!$A$1:$I$89,9,0)*B11)</f>
        <v>1.4452442307692308</v>
      </c>
      <c r="K11" s="158">
        <f>J11*(100%-'Données projet'!$C$24)*(100%-'Données projet'!$C$25)*(100%-'Données projet'!$C$26)*(100%-'Données projet'!$C$27)</f>
        <v>1.1056118365384615</v>
      </c>
      <c r="L11" s="159">
        <f t="shared" ca="1" si="2"/>
        <v>68.736221876016401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0" t="str">
        <f>IF('Données projet'!$B$15="","",'Données projet'!$B$15)</f>
        <v>Cèdre de l'Atlas</v>
      </c>
      <c r="B12" s="161">
        <f>'Données projet'!D15</f>
        <v>0.32374400000000003</v>
      </c>
      <c r="C12" s="154">
        <f ca="1">IF(OR('Données projet'!B15="",'Données projet'!C15="",'Données projet'!C15=0%),0,Calculateur!EO3)</f>
        <v>291.68530745507815</v>
      </c>
      <c r="D12" s="154">
        <f>IF(OR('Données projet'!B15="",'Données projet'!C15="",'Données projet'!C15=0%),0,Calculateur!EP3)</f>
        <v>175.95121106728979</v>
      </c>
      <c r="E12" s="154">
        <f t="shared" ca="1" si="0"/>
        <v>175.95121106728979</v>
      </c>
      <c r="F12" s="154">
        <f t="shared" ca="1" si="1"/>
        <v>56.963148875768674</v>
      </c>
      <c r="G12" s="154">
        <f ca="1">F12*(100%-'Données projet'!$C$24)*(100%-'Données projet'!$C$25)*(100%-'Données projet'!$C$26)*(100%-'Données projet'!$C$27)</f>
        <v>43.576808889963033</v>
      </c>
      <c r="H12" s="162">
        <f>IF(OR('Données projet'!B15="",'Données projet'!C15="",'Données projet'!C15=0%),0,AVERAGE(Calculateur!$EY$3:$EY$33)*B12)</f>
        <v>0</v>
      </c>
      <c r="I12" s="156">
        <f>H12*(100%-'Données projet'!$C$24)*(100%-'Données projet'!$C$25)*(100%-'Données projet'!$C$26)*(100%-'Données projet'!$C$27)</f>
        <v>0</v>
      </c>
      <c r="J12" s="157">
        <f>IF(OR('Données projet'!B15="",'Données projet'!C15="",'Données projet'!C15=0%),0,SUM(Calculateur!$ER$3:$ER$33)*VLOOKUP('Données projet'!$B$15,Paramètres!$A$1:$I$89,9,0)*B12)</f>
        <v>0</v>
      </c>
      <c r="K12" s="158">
        <f>J12*(100%-'Données projet'!$C$24)*(100%-'Données projet'!$C$25)*(100%-'Données projet'!$C$26)*(100%-'Données projet'!$C$27)</f>
        <v>0</v>
      </c>
      <c r="L12" s="159">
        <f t="shared" ca="1" si="2"/>
        <v>43.576808889963033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0" t="str">
        <f>IF('Données projet'!$B$16="","",'Données projet'!$B$16)</f>
        <v>Aulne à feuilles en cœur</v>
      </c>
      <c r="B13" s="161">
        <f>'Données projet'!D16</f>
        <v>0.20415199999999997</v>
      </c>
      <c r="C13" s="154">
        <f ca="1">IF(OR('Données projet'!B16="",'Données projet'!C16="",'Données projet'!C16=0%),0,Calculateur!FJ3)</f>
        <v>248.75689726928428</v>
      </c>
      <c r="D13" s="154">
        <f>IF(OR('Données projet'!B16="",'Données projet'!C16="",'Données projet'!C16=0%),0,Calculateur!FK3)</f>
        <v>232.02291680388336</v>
      </c>
      <c r="E13" s="154">
        <f t="shared" ca="1" si="0"/>
        <v>232.02291680388336</v>
      </c>
      <c r="F13" s="154">
        <f t="shared" ca="1" si="1"/>
        <v>47.367942511346392</v>
      </c>
      <c r="G13" s="154">
        <f ca="1">F13*(100%-'Données projet'!$C$24)*(100%-'Données projet'!$C$25)*(100%-'Données projet'!$C$26)*(100%-'Données projet'!$C$27)</f>
        <v>36.236476021179989</v>
      </c>
      <c r="H13" s="162">
        <f>IF(OR('Données projet'!B16="",'Données projet'!C16="",'Données projet'!C16=0%),0,AVERAGE(Calculateur!$FT$3:$FT$33)*B13)</f>
        <v>0</v>
      </c>
      <c r="I13" s="156">
        <f>H13*(100%-'Données projet'!$C$24)*(100%-'Données projet'!$C$25)*(100%-'Données projet'!$C$26)*(100%-'Données projet'!$C$27)</f>
        <v>0</v>
      </c>
      <c r="J13" s="157">
        <f>IF(OR('Données projet'!C16="",'Données projet'!C16=0%),0,SUM(Calculateur!$FM$3:$FM$33)*VLOOKUP('Données projet'!$B$16,Paramètres!$A$1:$I$89,9,0)*B13)</f>
        <v>1.2249119999999998</v>
      </c>
      <c r="K13" s="158">
        <f>J13*(100%-'Données projet'!$C$24)*(100%-'Données projet'!$C$25)*(100%-'Données projet'!$C$26)*(100%-'Données projet'!$C$27)</f>
        <v>0.93705767999999978</v>
      </c>
      <c r="L13" s="159">
        <f t="shared" ca="1" si="2"/>
        <v>37.173533701179991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0" t="str">
        <f>IF('Données projet'!$B$17="","",'Données projet'!$B$17)</f>
        <v>Pin de Salzmann</v>
      </c>
      <c r="B14" s="161">
        <f>'Données projet'!D17</f>
        <v>0.16187200000000002</v>
      </c>
      <c r="C14" s="154">
        <f ca="1">IF(OR('Données projet'!B17="",'Données projet'!C17="",'Données projet'!C17=0%),0,Calculateur!GE3)</f>
        <v>315.909549580511</v>
      </c>
      <c r="D14" s="154">
        <f>IF(OR('Données projet'!B17="",'Données projet'!C17="",'Données projet'!C17=0%),0,Calculateur!GF3)</f>
        <v>208.56856525402051</v>
      </c>
      <c r="E14" s="154">
        <f t="shared" ca="1" si="0"/>
        <v>208.56856525402051</v>
      </c>
      <c r="F14" s="154">
        <f t="shared" ca="1" si="1"/>
        <v>33.761410794798813</v>
      </c>
      <c r="G14" s="154">
        <f ca="1">F14*(100%-'Données projet'!$C$24)*(100%-'Données projet'!$C$25)*(100%-'Données projet'!$C$26)*(100%-'Données projet'!$C$27)</f>
        <v>25.827479258021093</v>
      </c>
      <c r="H14" s="162">
        <f>IF(OR('Données projet'!B17="",'Données projet'!C17="",'Données projet'!C17=0%),0,AVERAGE(Calculateur!$GO$3:$GO$33)*B14)</f>
        <v>0</v>
      </c>
      <c r="I14" s="156">
        <f>H14*(100%-'Données projet'!$C$24)*(100%-'Données projet'!$C$25)*(100%-'Données projet'!$C$26)*(100%-'Données projet'!$C$27)</f>
        <v>0</v>
      </c>
      <c r="J14" s="157">
        <f>IF(OR('Données projet'!B17="",'Données projet'!C17="",'Données projet'!C17=0%),0,SUM(Calculateur!$GH$3:$GH$33)*VLOOKUP('Données projet'!$B$17,Paramètres!$A$1:$I$89,9,0)*B14)</f>
        <v>3.6194579200000003</v>
      </c>
      <c r="K14" s="158">
        <f>J14*(100%-'Données projet'!$C$24)*(100%-'Données projet'!$C$25)*(100%-'Données projet'!$C$26)*(100%-'Données projet'!$C$27)</f>
        <v>2.7688853088000003</v>
      </c>
      <c r="L14" s="159">
        <f t="shared" ca="1" si="2"/>
        <v>28.596364566821094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3" t="str">
        <f>IF('Données projet'!B18="","",'Données projet'!B18)</f>
        <v>Tilleul</v>
      </c>
      <c r="B15" s="164">
        <f>'Données projet'!D18</f>
        <v>0.140128</v>
      </c>
      <c r="C15" s="165">
        <f ca="1">IF(OR('Données projet'!B18="",'Données projet'!C18="",'Données projet'!C18=0%),0,Calculateur!GZ3)</f>
        <v>254.35742752782755</v>
      </c>
      <c r="D15" s="165">
        <f>IF(OR('Données projet'!B18="",'Données projet'!C18="",'Données projet'!C18=0%),0,Calculateur!HA3)</f>
        <v>171.79611712137395</v>
      </c>
      <c r="E15" s="165">
        <f t="shared" ca="1" si="0"/>
        <v>171.79611712137395</v>
      </c>
      <c r="F15" s="166">
        <f t="shared" ca="1" si="1"/>
        <v>24.073446299983889</v>
      </c>
      <c r="G15" s="166">
        <f ca="1">F15*(100%-'Données projet'!$C$24)*(100%-'Données projet'!$C$25)*(100%-'Données projet'!$C$26)*(100%-'Données projet'!$C$27)</f>
        <v>18.416186419487676</v>
      </c>
      <c r="H15" s="167">
        <f>IF(OR('Données projet'!B18="",'Données projet'!C18="",'Données projet'!C18=0%),0,AVERAGE(Calculateur!$HJ$3:$HJ$33)*B15)</f>
        <v>0</v>
      </c>
      <c r="I15" s="168">
        <f>H15*(100%-'Données projet'!$C$24)*(100%-'Données projet'!$C$25)*(100%-'Données projet'!$C$26)*(100%-'Données projet'!$C$27)</f>
        <v>0</v>
      </c>
      <c r="J15" s="169">
        <f>IF(OR('Données projet'!B18="",'Données projet'!C18="",'Données projet'!C18=0%),0,SUM(Calculateur!$HC$3:$HC$33)*VLOOKUP('Données projet'!$B$18,Paramètres!$A$1:$I$89,9,0)*B15)</f>
        <v>0.56141025641025644</v>
      </c>
      <c r="K15" s="170">
        <f>J15*(100%-'Données projet'!$C$24)*(100%-'Données projet'!$C$25)*(100%-'Données projet'!$C$26)*(100%-'Données projet'!$C$27)</f>
        <v>0.42947884615384618</v>
      </c>
      <c r="L15" s="171">
        <f t="shared" ca="1" si="2"/>
        <v>18.845665265641522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4"/>
      <c r="B16" s="231"/>
      <c r="C16" s="232"/>
      <c r="D16" s="25"/>
      <c r="E16" s="25"/>
      <c r="F16" s="172">
        <f t="shared" ref="F16:L16" ca="1" si="3">SUM(F6:F15)</f>
        <v>1326.37487965013</v>
      </c>
      <c r="G16" s="173">
        <f t="shared" ca="1" si="3"/>
        <v>1014.6767829323491</v>
      </c>
      <c r="H16" s="174">
        <f t="shared" si="3"/>
        <v>0</v>
      </c>
      <c r="I16" s="174">
        <f t="shared" si="3"/>
        <v>0</v>
      </c>
      <c r="J16" s="175">
        <f t="shared" si="3"/>
        <v>21.537222206794866</v>
      </c>
      <c r="K16" s="175">
        <f t="shared" si="3"/>
        <v>16.475974988198075</v>
      </c>
      <c r="L16" s="176">
        <f t="shared" ca="1" si="3"/>
        <v>1031.1527579205474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4"/>
      <c r="B17" s="231"/>
      <c r="C17" s="232"/>
      <c r="D17" s="229"/>
      <c r="E17" s="229"/>
      <c r="F17" s="318" t="s">
        <v>246</v>
      </c>
      <c r="G17" s="319"/>
      <c r="H17" s="319"/>
      <c r="I17" s="319"/>
      <c r="J17" s="319"/>
      <c r="K17" s="319"/>
      <c r="L17" s="319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4"/>
      <c r="B18" s="231"/>
      <c r="C18" s="232"/>
      <c r="D18" s="229"/>
      <c r="E18" s="229"/>
      <c r="F18" s="320"/>
      <c r="G18" s="320"/>
      <c r="H18" s="320"/>
      <c r="I18" s="320"/>
      <c r="J18" s="320"/>
      <c r="K18" s="320"/>
      <c r="L18" s="320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29"/>
      <c r="J19" s="229"/>
      <c r="K19" s="229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29"/>
      <c r="J20" s="229"/>
      <c r="K20" s="229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7" t="str">
        <f>A6</f>
        <v>Pin d'Alep</v>
      </c>
      <c r="B21" s="5"/>
      <c r="C21" s="5"/>
      <c r="D21" s="5"/>
      <c r="E21" s="5"/>
      <c r="F21" s="5"/>
      <c r="G21" s="5"/>
      <c r="H21" s="5"/>
      <c r="I21" s="229"/>
      <c r="J21" s="229"/>
      <c r="K21" s="229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29"/>
      <c r="J22" s="229"/>
      <c r="K22" s="229"/>
      <c r="L22" s="229"/>
      <c r="M22" s="229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29"/>
      <c r="J23" s="229"/>
      <c r="K23" s="229"/>
      <c r="L23" s="229"/>
      <c r="M23" s="229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29"/>
      <c r="J24" s="229"/>
      <c r="K24" s="229"/>
      <c r="L24" s="229"/>
      <c r="M24" s="229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29"/>
      <c r="J25" s="229"/>
      <c r="K25" s="229"/>
      <c r="L25" s="229"/>
      <c r="M25" s="229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29"/>
      <c r="J26" s="229"/>
      <c r="K26" s="229"/>
      <c r="L26" s="229"/>
      <c r="M26" s="229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29"/>
      <c r="J27" s="229"/>
      <c r="K27" s="229"/>
      <c r="L27" s="229"/>
      <c r="M27" s="229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29"/>
      <c r="J28" s="229"/>
      <c r="K28" s="229"/>
      <c r="L28" s="229"/>
      <c r="M28" s="229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29"/>
      <c r="J29" s="229"/>
      <c r="K29" s="229"/>
      <c r="L29" s="229"/>
      <c r="M29" s="229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29"/>
      <c r="J30" s="229"/>
      <c r="K30" s="229"/>
      <c r="L30" s="229"/>
      <c r="M30" s="229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29"/>
      <c r="J31" s="229"/>
      <c r="K31" s="229"/>
      <c r="L31" s="229"/>
      <c r="M31" s="229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29"/>
      <c r="J32" s="229"/>
      <c r="K32" s="229"/>
      <c r="L32" s="229"/>
      <c r="M32" s="229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29"/>
      <c r="J33" s="229"/>
      <c r="K33" s="229"/>
      <c r="L33" s="229"/>
      <c r="M33" s="229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29"/>
      <c r="J34" s="229"/>
      <c r="K34" s="229"/>
      <c r="L34" s="229"/>
      <c r="M34" s="229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29"/>
      <c r="J35" s="229"/>
      <c r="K35" s="229"/>
      <c r="L35" s="229"/>
      <c r="M35" s="229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29"/>
      <c r="J36" s="229"/>
      <c r="K36" s="229"/>
      <c r="L36" s="229"/>
      <c r="M36" s="229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29"/>
      <c r="J37" s="229"/>
      <c r="K37" s="229"/>
      <c r="L37" s="229"/>
      <c r="M37" s="229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29"/>
      <c r="J38" s="229"/>
      <c r="K38" s="229"/>
      <c r="L38" s="229"/>
      <c r="M38" s="229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7" t="str">
        <f>A7</f>
        <v>Cyprès de Provence</v>
      </c>
      <c r="B39" s="5"/>
      <c r="C39" s="5"/>
      <c r="D39" s="5"/>
      <c r="E39" s="5"/>
      <c r="F39" s="5"/>
      <c r="G39" s="5"/>
      <c r="H39" s="5"/>
      <c r="I39" s="229"/>
      <c r="J39" s="229"/>
      <c r="K39" s="229"/>
      <c r="L39" s="229"/>
      <c r="M39" s="229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29"/>
      <c r="J40" s="229"/>
      <c r="K40" s="229"/>
      <c r="L40" s="229"/>
      <c r="M40" s="229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29"/>
      <c r="J41" s="229"/>
      <c r="K41" s="229"/>
      <c r="L41" s="229"/>
      <c r="M41" s="229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29"/>
      <c r="J42" s="229"/>
      <c r="K42" s="229"/>
      <c r="L42" s="229"/>
      <c r="M42" s="229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29"/>
      <c r="J43" s="229"/>
      <c r="K43" s="229"/>
      <c r="L43" s="229"/>
      <c r="M43" s="229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29"/>
      <c r="J44" s="229"/>
      <c r="K44" s="229"/>
      <c r="L44" s="229"/>
      <c r="M44" s="229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29"/>
      <c r="J45" s="229"/>
      <c r="K45" s="229"/>
      <c r="L45" s="229"/>
      <c r="M45" s="229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29"/>
      <c r="J46" s="229"/>
      <c r="K46" s="229"/>
      <c r="L46" s="229"/>
      <c r="M46" s="229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29"/>
      <c r="J47" s="229"/>
      <c r="K47" s="229"/>
      <c r="L47" s="229"/>
      <c r="M47" s="229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29"/>
      <c r="J48" s="229"/>
      <c r="K48" s="229"/>
      <c r="L48" s="229"/>
      <c r="M48" s="229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29"/>
      <c r="J49" s="229"/>
      <c r="K49" s="229"/>
      <c r="L49" s="229"/>
      <c r="M49" s="229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29"/>
      <c r="J50" s="229"/>
      <c r="K50" s="229"/>
      <c r="L50" s="229"/>
      <c r="M50" s="229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29"/>
      <c r="J51" s="229"/>
      <c r="K51" s="229"/>
      <c r="L51" s="229"/>
      <c r="M51" s="229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29"/>
      <c r="J52" s="229"/>
      <c r="K52" s="229"/>
      <c r="L52" s="229"/>
      <c r="M52" s="229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29"/>
      <c r="J53" s="229"/>
      <c r="K53" s="229"/>
      <c r="L53" s="229"/>
      <c r="M53" s="229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29"/>
      <c r="J54" s="229"/>
      <c r="K54" s="229"/>
      <c r="L54" s="229"/>
      <c r="M54" s="229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29"/>
      <c r="J55" s="229"/>
      <c r="K55" s="229"/>
      <c r="L55" s="229"/>
      <c r="M55" s="229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29"/>
      <c r="J56" s="229"/>
      <c r="K56" s="229"/>
      <c r="L56" s="229"/>
      <c r="M56" s="229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7" t="str">
        <f>A8</f>
        <v>Pin pignon</v>
      </c>
      <c r="B57" s="5"/>
      <c r="C57" s="5"/>
      <c r="D57" s="5"/>
      <c r="E57" s="5"/>
      <c r="F57" s="5"/>
      <c r="G57" s="5"/>
      <c r="H57" s="5"/>
      <c r="I57" s="229"/>
      <c r="J57" s="229"/>
      <c r="K57" s="229"/>
      <c r="L57" s="229"/>
      <c r="M57" s="229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29"/>
      <c r="J58" s="229"/>
      <c r="K58" s="229"/>
      <c r="L58" s="229"/>
      <c r="M58" s="229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29"/>
      <c r="J59" s="229"/>
      <c r="K59" s="229"/>
      <c r="L59" s="229"/>
      <c r="M59" s="229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29"/>
      <c r="J60" s="229"/>
      <c r="K60" s="229"/>
      <c r="L60" s="229"/>
      <c r="M60" s="229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29"/>
      <c r="J61" s="229"/>
      <c r="K61" s="229"/>
      <c r="L61" s="229"/>
      <c r="M61" s="229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29"/>
      <c r="J62" s="229"/>
      <c r="K62" s="229"/>
      <c r="L62" s="229"/>
      <c r="M62" s="229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29"/>
      <c r="J63" s="229"/>
      <c r="K63" s="229"/>
      <c r="L63" s="229"/>
      <c r="M63" s="229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29"/>
      <c r="J64" s="229"/>
      <c r="K64" s="229"/>
      <c r="L64" s="229"/>
      <c r="M64" s="229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29"/>
      <c r="J65" s="229"/>
      <c r="K65" s="229"/>
      <c r="L65" s="229"/>
      <c r="M65" s="229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29"/>
      <c r="J66" s="229"/>
      <c r="K66" s="229"/>
      <c r="L66" s="229"/>
      <c r="M66" s="229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29"/>
      <c r="J67" s="229"/>
      <c r="K67" s="229"/>
      <c r="L67" s="229"/>
      <c r="M67" s="229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29"/>
      <c r="J68" s="229"/>
      <c r="K68" s="229"/>
      <c r="L68" s="229"/>
      <c r="M68" s="229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29"/>
      <c r="J69" s="229"/>
      <c r="K69" s="229"/>
      <c r="L69" s="229"/>
      <c r="M69" s="229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29"/>
      <c r="J70" s="229"/>
      <c r="K70" s="229"/>
      <c r="L70" s="229"/>
      <c r="M70" s="229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29"/>
      <c r="J71" s="229"/>
      <c r="K71" s="229"/>
      <c r="L71" s="229"/>
      <c r="M71" s="229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29"/>
      <c r="J72" s="229"/>
      <c r="K72" s="229"/>
      <c r="L72" s="229"/>
      <c r="M72" s="229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29"/>
      <c r="J73" s="229"/>
      <c r="K73" s="229"/>
      <c r="L73" s="229"/>
      <c r="M73" s="229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29"/>
      <c r="J74" s="229"/>
      <c r="K74" s="229"/>
      <c r="L74" s="229"/>
      <c r="M74" s="229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29"/>
      <c r="J75" s="229"/>
      <c r="K75" s="229"/>
      <c r="L75" s="229"/>
      <c r="M75" s="229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7" t="str">
        <f>A9</f>
        <v>Cormier</v>
      </c>
      <c r="B76" s="5"/>
      <c r="C76" s="5"/>
      <c r="D76" s="5"/>
      <c r="E76" s="5"/>
      <c r="F76" s="5"/>
      <c r="G76" s="5"/>
      <c r="H76" s="5"/>
      <c r="I76" s="229"/>
      <c r="J76" s="229"/>
      <c r="K76" s="229"/>
      <c r="L76" s="229"/>
      <c r="M76" s="229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29"/>
      <c r="J77" s="229"/>
      <c r="K77" s="229"/>
      <c r="L77" s="229"/>
      <c r="M77" s="229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29"/>
      <c r="J78" s="229"/>
      <c r="K78" s="229"/>
      <c r="L78" s="229"/>
      <c r="M78" s="229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29"/>
      <c r="J79" s="229"/>
      <c r="K79" s="229"/>
      <c r="L79" s="229"/>
      <c r="M79" s="229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29"/>
      <c r="J80" s="229"/>
      <c r="K80" s="229"/>
      <c r="L80" s="229"/>
      <c r="M80" s="229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29"/>
      <c r="J81" s="229"/>
      <c r="K81" s="229"/>
      <c r="L81" s="229"/>
      <c r="M81" s="229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29"/>
      <c r="J82" s="229"/>
      <c r="K82" s="229"/>
      <c r="L82" s="229"/>
      <c r="M82" s="229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29"/>
      <c r="J83" s="229"/>
      <c r="K83" s="229"/>
      <c r="L83" s="229"/>
      <c r="M83" s="229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29"/>
      <c r="J84" s="229"/>
      <c r="K84" s="229"/>
      <c r="L84" s="229"/>
      <c r="M84" s="229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29"/>
      <c r="J85" s="229"/>
      <c r="K85" s="229"/>
      <c r="L85" s="229"/>
      <c r="M85" s="229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29"/>
      <c r="J86" s="229"/>
      <c r="K86" s="229"/>
      <c r="L86" s="229"/>
      <c r="M86" s="229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29"/>
      <c r="J87" s="229"/>
      <c r="K87" s="229"/>
      <c r="L87" s="229"/>
      <c r="M87" s="229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29"/>
      <c r="J88" s="229"/>
      <c r="K88" s="229"/>
      <c r="L88" s="229"/>
      <c r="M88" s="229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29"/>
      <c r="J89" s="229"/>
      <c r="K89" s="229"/>
      <c r="L89" s="229"/>
      <c r="M89" s="229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29"/>
      <c r="J90" s="229"/>
      <c r="K90" s="229"/>
      <c r="L90" s="229"/>
      <c r="M90" s="229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29"/>
      <c r="J91" s="229"/>
      <c r="K91" s="229"/>
      <c r="L91" s="229"/>
      <c r="M91" s="229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29"/>
      <c r="J92" s="229"/>
      <c r="K92" s="229"/>
      <c r="L92" s="229"/>
      <c r="M92" s="229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29"/>
      <c r="J93" s="229"/>
      <c r="K93" s="229"/>
      <c r="L93" s="229"/>
      <c r="M93" s="229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7" t="str">
        <f>A10</f>
        <v>Erable champêtre</v>
      </c>
      <c r="B94" s="5"/>
      <c r="C94" s="5"/>
      <c r="D94" s="5"/>
      <c r="E94" s="5"/>
      <c r="F94" s="5"/>
      <c r="G94" s="5"/>
      <c r="H94" s="5"/>
      <c r="I94" s="229"/>
      <c r="J94" s="229"/>
      <c r="K94" s="229"/>
      <c r="L94" s="229"/>
      <c r="M94" s="229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29"/>
      <c r="J95" s="229"/>
      <c r="K95" s="229"/>
      <c r="L95" s="229"/>
      <c r="M95" s="229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29"/>
      <c r="J96" s="229"/>
      <c r="K96" s="229"/>
      <c r="L96" s="229"/>
      <c r="M96" s="229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29"/>
      <c r="J97" s="229"/>
      <c r="K97" s="229"/>
      <c r="L97" s="229"/>
      <c r="M97" s="229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29"/>
      <c r="J98" s="229"/>
      <c r="K98" s="229"/>
      <c r="L98" s="229"/>
      <c r="M98" s="229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29"/>
      <c r="J99" s="229"/>
      <c r="K99" s="229"/>
      <c r="L99" s="229"/>
      <c r="M99" s="229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29"/>
      <c r="J100" s="229"/>
      <c r="K100" s="229"/>
      <c r="L100" s="229"/>
      <c r="M100" s="229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29"/>
      <c r="J101" s="229"/>
      <c r="K101" s="229"/>
      <c r="L101" s="229"/>
      <c r="M101" s="229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29"/>
      <c r="J102" s="229"/>
      <c r="K102" s="229"/>
      <c r="L102" s="229"/>
      <c r="M102" s="229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29"/>
      <c r="J103" s="229"/>
      <c r="K103" s="229"/>
      <c r="L103" s="229"/>
      <c r="M103" s="229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29"/>
      <c r="J104" s="229"/>
      <c r="K104" s="229"/>
      <c r="L104" s="229"/>
      <c r="M104" s="229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29"/>
      <c r="J105" s="229"/>
      <c r="K105" s="229"/>
      <c r="L105" s="229"/>
      <c r="M105" s="229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29"/>
      <c r="J106" s="229"/>
      <c r="K106" s="229"/>
      <c r="L106" s="229"/>
      <c r="M106" s="229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29"/>
      <c r="J107" s="229"/>
      <c r="K107" s="229"/>
      <c r="L107" s="229"/>
      <c r="M107" s="229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29"/>
      <c r="J108" s="229"/>
      <c r="K108" s="229"/>
      <c r="L108" s="229"/>
      <c r="M108" s="229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29"/>
      <c r="J109" s="229"/>
      <c r="K109" s="229"/>
      <c r="L109" s="229"/>
      <c r="M109" s="229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29"/>
      <c r="J110" s="229"/>
      <c r="K110" s="229"/>
      <c r="L110" s="229"/>
      <c r="M110" s="229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29"/>
      <c r="J111" s="229"/>
      <c r="K111" s="229"/>
      <c r="L111" s="229"/>
      <c r="M111" s="229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7" t="str">
        <f>A11</f>
        <v>Chêne chevelu</v>
      </c>
      <c r="B112" s="5"/>
      <c r="C112" s="5"/>
      <c r="D112" s="5"/>
      <c r="E112" s="5"/>
      <c r="F112" s="5"/>
      <c r="G112" s="5"/>
      <c r="H112" s="5"/>
      <c r="I112" s="229"/>
      <c r="J112" s="229"/>
      <c r="K112" s="229"/>
      <c r="L112" s="229"/>
      <c r="M112" s="229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29"/>
      <c r="J113" s="229"/>
      <c r="K113" s="229"/>
      <c r="L113" s="229"/>
      <c r="M113" s="229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29"/>
      <c r="J114" s="229"/>
      <c r="K114" s="229"/>
      <c r="L114" s="229"/>
      <c r="M114" s="229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29"/>
      <c r="J115" s="229"/>
      <c r="K115" s="229"/>
      <c r="L115" s="229"/>
      <c r="M115" s="229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29"/>
      <c r="J116" s="229"/>
      <c r="K116" s="229"/>
      <c r="L116" s="229"/>
      <c r="M116" s="229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29"/>
      <c r="J117" s="229"/>
      <c r="K117" s="229"/>
      <c r="L117" s="229"/>
      <c r="M117" s="229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29"/>
      <c r="J118" s="229"/>
      <c r="K118" s="229"/>
      <c r="L118" s="229"/>
      <c r="M118" s="229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29"/>
      <c r="J119" s="229"/>
      <c r="K119" s="229"/>
      <c r="L119" s="229"/>
      <c r="M119" s="229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29"/>
      <c r="J120" s="229"/>
      <c r="K120" s="229"/>
      <c r="L120" s="229"/>
      <c r="M120" s="229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29"/>
      <c r="J121" s="229"/>
      <c r="K121" s="229"/>
      <c r="L121" s="229"/>
      <c r="M121" s="229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29"/>
      <c r="J122" s="229"/>
      <c r="K122" s="229"/>
      <c r="L122" s="229"/>
      <c r="M122" s="229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29"/>
      <c r="J123" s="229"/>
      <c r="K123" s="229"/>
      <c r="L123" s="229"/>
      <c r="M123" s="229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29"/>
      <c r="J124" s="229"/>
      <c r="K124" s="229"/>
      <c r="L124" s="229"/>
      <c r="M124" s="229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29"/>
      <c r="J125" s="229"/>
      <c r="K125" s="229"/>
      <c r="L125" s="229"/>
      <c r="M125" s="229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29"/>
      <c r="J126" s="229"/>
      <c r="K126" s="229"/>
      <c r="L126" s="229"/>
      <c r="M126" s="229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29"/>
      <c r="J127" s="229"/>
      <c r="K127" s="229"/>
      <c r="L127" s="229"/>
      <c r="M127" s="229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29"/>
      <c r="J128" s="229"/>
      <c r="K128" s="229"/>
      <c r="L128" s="229"/>
      <c r="M128" s="229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29"/>
      <c r="J129" s="229"/>
      <c r="K129" s="229"/>
      <c r="L129" s="229"/>
      <c r="M129" s="229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7" t="str">
        <f>A12</f>
        <v>Cèdre de l'Atlas</v>
      </c>
      <c r="B130" s="5"/>
      <c r="C130" s="5"/>
      <c r="D130" s="5"/>
      <c r="E130" s="5"/>
      <c r="F130" s="5"/>
      <c r="G130" s="5"/>
      <c r="H130" s="5"/>
      <c r="I130" s="229"/>
      <c r="J130" s="229"/>
      <c r="K130" s="229"/>
      <c r="L130" s="229"/>
      <c r="M130" s="229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29"/>
      <c r="J131" s="229"/>
      <c r="K131" s="229"/>
      <c r="L131" s="229"/>
      <c r="M131" s="229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29"/>
      <c r="J132" s="229"/>
      <c r="K132" s="229"/>
      <c r="L132" s="229"/>
      <c r="M132" s="229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29"/>
      <c r="J133" s="229"/>
      <c r="K133" s="229"/>
      <c r="L133" s="229"/>
      <c r="M133" s="229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29"/>
      <c r="J134" s="229"/>
      <c r="K134" s="229"/>
      <c r="L134" s="229"/>
      <c r="M134" s="229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29"/>
      <c r="J135" s="229"/>
      <c r="K135" s="229"/>
      <c r="L135" s="229"/>
      <c r="M135" s="229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29"/>
      <c r="J136" s="229"/>
      <c r="K136" s="229"/>
      <c r="L136" s="229"/>
      <c r="M136" s="229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29"/>
      <c r="J137" s="229"/>
      <c r="K137" s="229"/>
      <c r="L137" s="229"/>
      <c r="M137" s="229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29"/>
      <c r="J138" s="229"/>
      <c r="K138" s="229"/>
      <c r="L138" s="229"/>
      <c r="M138" s="229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29"/>
      <c r="J139" s="229"/>
      <c r="K139" s="229"/>
      <c r="L139" s="229"/>
      <c r="M139" s="229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29"/>
      <c r="J140" s="229"/>
      <c r="K140" s="229"/>
      <c r="L140" s="229"/>
      <c r="M140" s="229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29"/>
      <c r="J141" s="229"/>
      <c r="K141" s="229"/>
      <c r="L141" s="229"/>
      <c r="M141" s="229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29"/>
      <c r="J142" s="229"/>
      <c r="K142" s="229"/>
      <c r="L142" s="229"/>
      <c r="M142" s="229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29"/>
      <c r="J143" s="229"/>
      <c r="K143" s="229"/>
      <c r="L143" s="229"/>
      <c r="M143" s="229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29"/>
      <c r="J144" s="229"/>
      <c r="K144" s="229"/>
      <c r="L144" s="229"/>
      <c r="M144" s="229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29"/>
      <c r="J145" s="229"/>
      <c r="K145" s="229"/>
      <c r="L145" s="229"/>
      <c r="M145" s="229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29"/>
      <c r="J146" s="229"/>
      <c r="K146" s="229"/>
      <c r="L146" s="229"/>
      <c r="M146" s="229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29"/>
      <c r="J147" s="229"/>
      <c r="K147" s="229"/>
      <c r="L147" s="229"/>
      <c r="M147" s="229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7" t="str">
        <f>A13</f>
        <v>Aulne à feuilles en cœur</v>
      </c>
      <c r="B148" s="5"/>
      <c r="C148" s="5"/>
      <c r="D148" s="5"/>
      <c r="E148" s="5"/>
      <c r="F148" s="5"/>
      <c r="G148" s="5"/>
      <c r="H148" s="5"/>
      <c r="I148" s="229"/>
      <c r="J148" s="229"/>
      <c r="K148" s="229"/>
      <c r="L148" s="229"/>
      <c r="M148" s="229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29"/>
      <c r="J149" s="229"/>
      <c r="K149" s="229"/>
      <c r="L149" s="229"/>
      <c r="M149" s="229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29"/>
      <c r="J150" s="229"/>
      <c r="K150" s="229"/>
      <c r="L150" s="229"/>
      <c r="M150" s="229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29"/>
      <c r="J151" s="229"/>
      <c r="K151" s="229"/>
      <c r="L151" s="229"/>
      <c r="M151" s="229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29"/>
      <c r="J152" s="229"/>
      <c r="K152" s="229"/>
      <c r="L152" s="229"/>
      <c r="M152" s="229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29"/>
      <c r="J153" s="229"/>
      <c r="K153" s="229"/>
      <c r="L153" s="229"/>
      <c r="M153" s="229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29"/>
      <c r="J154" s="229"/>
      <c r="K154" s="229"/>
      <c r="L154" s="229"/>
      <c r="M154" s="229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29"/>
      <c r="J155" s="229"/>
      <c r="K155" s="229"/>
      <c r="L155" s="229"/>
      <c r="M155" s="229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29"/>
      <c r="J156" s="229"/>
      <c r="K156" s="229"/>
      <c r="L156" s="229"/>
      <c r="M156" s="229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29"/>
      <c r="J157" s="229"/>
      <c r="K157" s="229"/>
      <c r="L157" s="229"/>
      <c r="M157" s="229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29"/>
      <c r="J158" s="229"/>
      <c r="K158" s="229"/>
      <c r="L158" s="229"/>
      <c r="M158" s="229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29"/>
      <c r="J159" s="229"/>
      <c r="K159" s="229"/>
      <c r="L159" s="229"/>
      <c r="M159" s="229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29"/>
      <c r="J160" s="229"/>
      <c r="K160" s="229"/>
      <c r="L160" s="229"/>
      <c r="M160" s="229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29"/>
      <c r="J161" s="229"/>
      <c r="K161" s="229"/>
      <c r="L161" s="229"/>
      <c r="M161" s="229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29"/>
      <c r="J162" s="229"/>
      <c r="K162" s="229"/>
      <c r="L162" s="229"/>
      <c r="M162" s="229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29"/>
      <c r="J163" s="229"/>
      <c r="K163" s="229"/>
      <c r="L163" s="229"/>
      <c r="M163" s="229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29"/>
      <c r="J164" s="229"/>
      <c r="K164" s="229"/>
      <c r="L164" s="229"/>
      <c r="M164" s="229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29"/>
      <c r="J165" s="229"/>
      <c r="K165" s="229"/>
      <c r="L165" s="229"/>
      <c r="M165" s="229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7" t="str">
        <f>A14</f>
        <v>Pin de Salzmann</v>
      </c>
      <c r="B166" s="5"/>
      <c r="C166" s="5"/>
      <c r="D166" s="5"/>
      <c r="E166" s="5"/>
      <c r="F166" s="5"/>
      <c r="G166" s="5"/>
      <c r="H166" s="5"/>
      <c r="I166" s="229"/>
      <c r="J166" s="229"/>
      <c r="K166" s="229"/>
      <c r="L166" s="229"/>
      <c r="M166" s="229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29"/>
      <c r="J167" s="229"/>
      <c r="K167" s="229"/>
      <c r="L167" s="229"/>
      <c r="M167" s="229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29"/>
      <c r="J168" s="229"/>
      <c r="K168" s="229"/>
      <c r="L168" s="229"/>
      <c r="M168" s="229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29"/>
      <c r="J169" s="229"/>
      <c r="K169" s="229"/>
      <c r="L169" s="229"/>
      <c r="M169" s="229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29"/>
      <c r="J170" s="229"/>
      <c r="K170" s="229"/>
      <c r="L170" s="229"/>
      <c r="M170" s="229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29"/>
      <c r="J171" s="229"/>
      <c r="K171" s="229"/>
      <c r="L171" s="229"/>
      <c r="M171" s="229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29"/>
      <c r="J172" s="229"/>
      <c r="K172" s="229"/>
      <c r="L172" s="229"/>
      <c r="M172" s="229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29"/>
      <c r="J173" s="229"/>
      <c r="K173" s="229"/>
      <c r="L173" s="229"/>
      <c r="M173" s="229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29"/>
      <c r="J174" s="229"/>
      <c r="K174" s="229"/>
      <c r="L174" s="229"/>
      <c r="M174" s="229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29"/>
      <c r="J175" s="229"/>
      <c r="K175" s="229"/>
      <c r="L175" s="229"/>
      <c r="M175" s="229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29"/>
      <c r="J176" s="229"/>
      <c r="K176" s="229"/>
      <c r="L176" s="229"/>
      <c r="M176" s="229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29"/>
      <c r="J177" s="229"/>
      <c r="K177" s="229"/>
      <c r="L177" s="229"/>
      <c r="M177" s="229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29"/>
      <c r="J178" s="229"/>
      <c r="K178" s="229"/>
      <c r="L178" s="229"/>
      <c r="M178" s="229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29"/>
      <c r="J179" s="229"/>
      <c r="K179" s="229"/>
      <c r="L179" s="229"/>
      <c r="M179" s="229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29"/>
      <c r="J180" s="229"/>
      <c r="K180" s="229"/>
      <c r="L180" s="229"/>
      <c r="M180" s="229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29"/>
      <c r="J181" s="229"/>
      <c r="K181" s="229"/>
      <c r="L181" s="229"/>
      <c r="M181" s="229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29"/>
      <c r="J182" s="229"/>
      <c r="K182" s="229"/>
      <c r="L182" s="229"/>
      <c r="M182" s="229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29"/>
      <c r="J183" s="229"/>
      <c r="K183" s="229"/>
      <c r="L183" s="229"/>
      <c r="M183" s="229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7" t="str">
        <f>A15</f>
        <v>Tilleul</v>
      </c>
      <c r="B184" s="5"/>
      <c r="C184" s="5"/>
      <c r="D184" s="5"/>
      <c r="E184" s="5"/>
      <c r="F184" s="5"/>
      <c r="G184" s="5"/>
      <c r="H184" s="5"/>
      <c r="I184" s="229"/>
      <c r="J184" s="229"/>
      <c r="K184" s="229"/>
      <c r="L184" s="229"/>
      <c r="M184" s="229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29"/>
      <c r="J185" s="229"/>
      <c r="K185" s="229"/>
      <c r="L185" s="229"/>
      <c r="M185" s="229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29"/>
      <c r="J186" s="229"/>
      <c r="K186" s="229"/>
      <c r="L186" s="229"/>
      <c r="M186" s="229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29"/>
      <c r="J187" s="229"/>
      <c r="K187" s="229"/>
      <c r="L187" s="229"/>
      <c r="M187" s="229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29"/>
      <c r="J188" s="229"/>
      <c r="K188" s="229"/>
      <c r="L188" s="229"/>
      <c r="M188" s="229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29"/>
      <c r="J189" s="229"/>
      <c r="K189" s="229"/>
      <c r="L189" s="229"/>
      <c r="M189" s="229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29"/>
      <c r="J190" s="229"/>
      <c r="K190" s="229"/>
      <c r="L190" s="229"/>
      <c r="M190" s="229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29"/>
      <c r="J191" s="229"/>
      <c r="K191" s="229"/>
      <c r="L191" s="229"/>
      <c r="M191" s="229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29"/>
      <c r="J192" s="229"/>
      <c r="K192" s="229"/>
      <c r="L192" s="229"/>
      <c r="M192" s="229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29"/>
      <c r="J193" s="229"/>
      <c r="K193" s="229"/>
      <c r="L193" s="229"/>
      <c r="M193" s="229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29"/>
      <c r="J194" s="229"/>
      <c r="K194" s="229"/>
      <c r="L194" s="229"/>
      <c r="M194" s="229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29"/>
      <c r="J195" s="229"/>
      <c r="K195" s="229"/>
      <c r="L195" s="229"/>
      <c r="M195" s="229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29"/>
      <c r="J196" s="229"/>
      <c r="K196" s="229"/>
      <c r="L196" s="229"/>
      <c r="M196" s="229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29"/>
      <c r="J197" s="229"/>
      <c r="K197" s="229"/>
      <c r="L197" s="229"/>
      <c r="M197" s="229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29"/>
      <c r="J198" s="229"/>
      <c r="K198" s="229"/>
      <c r="L198" s="229"/>
      <c r="M198" s="229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29"/>
      <c r="J199" s="229"/>
      <c r="K199" s="229"/>
      <c r="L199" s="229"/>
      <c r="M199" s="229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29"/>
      <c r="J200" s="229"/>
      <c r="K200" s="229"/>
      <c r="L200" s="229"/>
      <c r="M200" s="229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29"/>
      <c r="J201" s="229"/>
      <c r="K201" s="229"/>
      <c r="L201" s="229"/>
      <c r="M201" s="229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29"/>
      <c r="J202" s="229"/>
      <c r="K202" s="229"/>
      <c r="L202" s="229"/>
      <c r="M202" s="229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0"/>
      <c r="J203" s="70"/>
      <c r="K203" s="70"/>
      <c r="L203" s="70"/>
      <c r="M203" s="229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0"/>
      <c r="J204" s="70"/>
      <c r="K204" s="70"/>
      <c r="L204" s="70"/>
      <c r="M204" s="70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0"/>
      <c r="J205" s="70"/>
      <c r="K205" s="70"/>
      <c r="L205" s="70"/>
      <c r="M205" s="70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0"/>
      <c r="J206" s="70"/>
      <c r="K206" s="70"/>
      <c r="L206" s="70"/>
      <c r="M206" s="70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0"/>
      <c r="J207" s="70"/>
      <c r="K207" s="70"/>
      <c r="L207" s="70"/>
      <c r="M207" s="70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0"/>
      <c r="J208" s="70"/>
      <c r="K208" s="70"/>
      <c r="L208" s="70"/>
      <c r="M208" s="70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0"/>
      <c r="J209" s="70"/>
      <c r="K209" s="70"/>
      <c r="L209" s="70"/>
      <c r="M209" s="70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0"/>
      <c r="J210" s="70"/>
      <c r="K210" s="70"/>
      <c r="L210" s="70"/>
      <c r="M210" s="70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0"/>
      <c r="J211" s="70"/>
      <c r="K211" s="70"/>
      <c r="L211" s="70"/>
      <c r="M211" s="70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0"/>
      <c r="J212" s="70"/>
      <c r="K212" s="70"/>
      <c r="L212" s="70"/>
      <c r="M212" s="70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0"/>
      <c r="J213" s="70"/>
      <c r="K213" s="70"/>
      <c r="L213" s="70"/>
      <c r="M213" s="70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0"/>
      <c r="J214" s="70"/>
      <c r="K214" s="70"/>
      <c r="L214" s="70"/>
      <c r="M214" s="70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0"/>
      <c r="J215" s="70"/>
      <c r="K215" s="70"/>
      <c r="L215" s="70"/>
      <c r="M215" s="70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0"/>
      <c r="J216" s="70"/>
      <c r="K216" s="70"/>
      <c r="L216" s="70"/>
      <c r="M216" s="70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0"/>
      <c r="J217" s="70"/>
      <c r="K217" s="70"/>
      <c r="L217" s="70"/>
      <c r="M217" s="70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0"/>
      <c r="J218" s="70"/>
      <c r="K218" s="70"/>
      <c r="L218" s="70"/>
      <c r="M218" s="70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0"/>
      <c r="J219" s="70"/>
      <c r="K219" s="70"/>
      <c r="L219" s="70"/>
      <c r="M219" s="70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0"/>
      <c r="J220" s="70"/>
      <c r="K220" s="70"/>
      <c r="L220" s="70"/>
      <c r="M220" s="70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0"/>
      <c r="J221" s="70"/>
      <c r="K221" s="70"/>
      <c r="L221" s="70"/>
      <c r="M221" s="70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0"/>
      <c r="J222" s="70"/>
      <c r="K222" s="70"/>
      <c r="L222" s="70"/>
      <c r="M222" s="70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0"/>
      <c r="J223" s="70"/>
      <c r="K223" s="70"/>
      <c r="L223" s="70"/>
      <c r="M223" s="70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0"/>
      <c r="J224" s="70"/>
      <c r="K224" s="70"/>
      <c r="L224" s="70"/>
      <c r="M224" s="70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0"/>
      <c r="J225" s="70"/>
      <c r="K225" s="70"/>
      <c r="L225" s="70"/>
      <c r="M225" s="70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0"/>
      <c r="J226" s="70"/>
      <c r="K226" s="70"/>
      <c r="L226" s="70"/>
      <c r="M226" s="70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0"/>
      <c r="J227" s="70"/>
      <c r="K227" s="70"/>
      <c r="L227" s="70"/>
      <c r="M227" s="70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0"/>
      <c r="J228" s="70"/>
      <c r="K228" s="70"/>
      <c r="L228" s="70"/>
      <c r="M228" s="70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0"/>
      <c r="J229" s="70"/>
      <c r="K229" s="70"/>
      <c r="L229" s="70"/>
      <c r="M229" s="70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0"/>
      <c r="J230" s="70"/>
      <c r="K230" s="70"/>
      <c r="L230" s="70"/>
      <c r="M230" s="70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0"/>
      <c r="J231" s="70"/>
      <c r="K231" s="70"/>
      <c r="L231" s="70"/>
      <c r="M231" s="70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0"/>
      <c r="J232" s="70"/>
      <c r="K232" s="70"/>
      <c r="L232" s="70"/>
      <c r="M232" s="70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0"/>
      <c r="J233" s="70"/>
      <c r="K233" s="70"/>
      <c r="L233" s="70"/>
      <c r="M233" s="70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0"/>
      <c r="J234" s="70"/>
      <c r="K234" s="70"/>
      <c r="L234" s="70"/>
      <c r="M234" s="70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0"/>
      <c r="J235" s="70"/>
      <c r="K235" s="70"/>
      <c r="L235" s="70"/>
      <c r="M235" s="70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0"/>
      <c r="J236" s="70"/>
      <c r="K236" s="70"/>
      <c r="L236" s="70"/>
      <c r="M236" s="70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0"/>
      <c r="J237" s="70"/>
      <c r="K237" s="70"/>
      <c r="L237" s="70"/>
      <c r="M237" s="70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0"/>
      <c r="J238" s="70"/>
      <c r="K238" s="70"/>
      <c r="L238" s="70"/>
      <c r="M238" s="70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0"/>
      <c r="J239" s="70"/>
      <c r="K239" s="70"/>
      <c r="L239" s="70"/>
      <c r="M239" s="70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0"/>
      <c r="J240" s="70"/>
      <c r="K240" s="70"/>
      <c r="L240" s="70"/>
      <c r="M240" s="70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0"/>
      <c r="J241" s="70"/>
      <c r="K241" s="70"/>
      <c r="L241" s="70"/>
      <c r="M241" s="70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0"/>
      <c r="J242" s="70"/>
      <c r="K242" s="70"/>
      <c r="L242" s="70"/>
      <c r="M242" s="70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0"/>
      <c r="J243" s="70"/>
      <c r="K243" s="70"/>
      <c r="L243" s="70"/>
      <c r="M243" s="70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0"/>
      <c r="J244" s="70"/>
      <c r="K244" s="70"/>
      <c r="L244" s="70"/>
      <c r="M244" s="70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0"/>
      <c r="J245" s="70"/>
      <c r="K245" s="70"/>
      <c r="L245" s="70"/>
      <c r="M245" s="70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0"/>
      <c r="J246" s="70"/>
      <c r="K246" s="70"/>
      <c r="L246" s="70"/>
      <c r="M246" s="70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0"/>
      <c r="J247" s="70"/>
      <c r="K247" s="70"/>
      <c r="L247" s="70"/>
      <c r="M247" s="70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0"/>
      <c r="J248" s="70"/>
      <c r="K248" s="70"/>
      <c r="L248" s="70"/>
      <c r="M248" s="70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0"/>
      <c r="J249" s="70"/>
      <c r="K249" s="70"/>
      <c r="L249" s="70"/>
      <c r="M249" s="70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0"/>
      <c r="J250" s="70"/>
      <c r="K250" s="70"/>
      <c r="L250" s="70"/>
      <c r="M250" s="70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0"/>
      <c r="J251" s="70"/>
      <c r="K251" s="70"/>
      <c r="L251" s="70"/>
      <c r="M251" s="70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0"/>
      <c r="J252" s="70"/>
      <c r="K252" s="70"/>
      <c r="L252" s="70"/>
      <c r="M252" s="70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0"/>
      <c r="J253" s="70"/>
      <c r="K253" s="70"/>
      <c r="L253" s="70"/>
      <c r="M253" s="70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0"/>
      <c r="J254" s="70"/>
      <c r="K254" s="70"/>
      <c r="L254" s="70"/>
      <c r="M254" s="70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0"/>
      <c r="J255" s="70"/>
      <c r="K255" s="70"/>
      <c r="L255" s="70"/>
      <c r="M255" s="70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0"/>
      <c r="J256" s="70"/>
      <c r="K256" s="70"/>
      <c r="L256" s="70"/>
      <c r="M256" s="70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0"/>
      <c r="J257" s="70"/>
      <c r="K257" s="70"/>
      <c r="L257" s="70"/>
      <c r="M257" s="70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0"/>
      <c r="J258" s="70"/>
      <c r="K258" s="70"/>
      <c r="L258" s="70"/>
      <c r="M258" s="70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0"/>
      <c r="J259" s="70"/>
      <c r="K259" s="70"/>
      <c r="L259" s="70"/>
      <c r="M259" s="70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0"/>
      <c r="J260" s="70"/>
      <c r="K260" s="70"/>
      <c r="L260" s="70"/>
      <c r="M260" s="70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0"/>
      <c r="J261" s="70"/>
      <c r="K261" s="70"/>
      <c r="L261" s="70"/>
      <c r="M261" s="70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0"/>
      <c r="J262" s="70"/>
      <c r="K262" s="70"/>
      <c r="L262" s="70"/>
      <c r="M262" s="70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0"/>
      <c r="J263" s="70"/>
      <c r="K263" s="70"/>
      <c r="L263" s="70"/>
      <c r="M263" s="70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0"/>
      <c r="J264" s="70"/>
      <c r="K264" s="70"/>
      <c r="L264" s="70"/>
      <c r="M264" s="70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0"/>
      <c r="J265" s="70"/>
      <c r="K265" s="70"/>
      <c r="L265" s="70"/>
      <c r="M265" s="70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0"/>
      <c r="J266" s="70"/>
      <c r="K266" s="70"/>
      <c r="L266" s="70"/>
      <c r="M266" s="70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0"/>
      <c r="J267" s="70"/>
      <c r="K267" s="70"/>
      <c r="L267" s="70"/>
      <c r="M267" s="70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0"/>
      <c r="J268" s="70"/>
      <c r="K268" s="70"/>
      <c r="L268" s="70"/>
      <c r="M268" s="70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0"/>
      <c r="J269" s="70"/>
      <c r="K269" s="70"/>
      <c r="L269" s="70"/>
      <c r="M269" s="70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0"/>
      <c r="J270" s="70"/>
      <c r="K270" s="70"/>
      <c r="L270" s="70"/>
      <c r="M270" s="70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0"/>
      <c r="J271" s="70"/>
      <c r="K271" s="70"/>
      <c r="L271" s="70"/>
      <c r="M271" s="70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0"/>
      <c r="J272" s="70"/>
      <c r="K272" s="70"/>
      <c r="L272" s="70"/>
      <c r="M272" s="70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0"/>
      <c r="J273" s="70"/>
      <c r="K273" s="70"/>
      <c r="L273" s="70"/>
      <c r="M273" s="70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0"/>
      <c r="J274" s="70"/>
      <c r="K274" s="70"/>
      <c r="L274" s="70"/>
      <c r="M274" s="70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0"/>
      <c r="J275" s="70"/>
      <c r="K275" s="70"/>
      <c r="L275" s="70"/>
      <c r="M275" s="70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0"/>
      <c r="J276" s="70"/>
      <c r="K276" s="70"/>
      <c r="L276" s="70"/>
      <c r="M276" s="70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0"/>
      <c r="J277" s="70"/>
      <c r="K277" s="70"/>
      <c r="L277" s="70"/>
      <c r="M277" s="70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0"/>
      <c r="J278" s="70"/>
      <c r="K278" s="70"/>
      <c r="L278" s="70"/>
      <c r="M278" s="70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0"/>
      <c r="J279" s="70"/>
      <c r="K279" s="70"/>
      <c r="L279" s="70"/>
      <c r="M279" s="70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0"/>
      <c r="J280" s="70"/>
      <c r="K280" s="70"/>
      <c r="L280" s="70"/>
      <c r="M280" s="70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0"/>
      <c r="J281" s="70"/>
      <c r="K281" s="70"/>
      <c r="L281" s="70"/>
      <c r="M281" s="70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0"/>
      <c r="J282" s="70"/>
      <c r="K282" s="70"/>
      <c r="L282" s="70"/>
      <c r="M282" s="70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0"/>
      <c r="J283" s="70"/>
      <c r="K283" s="70"/>
      <c r="L283" s="70"/>
      <c r="M283" s="70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0"/>
      <c r="J284" s="70"/>
      <c r="K284" s="70"/>
      <c r="L284" s="70"/>
      <c r="M284" s="70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0"/>
      <c r="J285" s="70"/>
      <c r="K285" s="70"/>
      <c r="L285" s="70"/>
      <c r="M285" s="70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0"/>
      <c r="J286" s="70"/>
      <c r="K286" s="70"/>
      <c r="L286" s="70"/>
      <c r="M286" s="70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0"/>
      <c r="J287" s="70"/>
      <c r="K287" s="70"/>
      <c r="L287" s="70"/>
      <c r="M287" s="70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0"/>
      <c r="J288" s="70"/>
      <c r="K288" s="70"/>
      <c r="L288" s="70"/>
      <c r="M288" s="70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0"/>
      <c r="J289" s="70"/>
      <c r="K289" s="70"/>
      <c r="L289" s="70"/>
      <c r="M289" s="70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0"/>
      <c r="J290" s="70"/>
      <c r="K290" s="70"/>
      <c r="L290" s="70"/>
      <c r="M290" s="70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0"/>
      <c r="J291" s="70"/>
      <c r="K291" s="70"/>
      <c r="L291" s="70"/>
      <c r="M291" s="70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0"/>
      <c r="J292" s="70"/>
      <c r="K292" s="70"/>
      <c r="L292" s="70"/>
      <c r="M292" s="70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0"/>
      <c r="J293" s="70"/>
      <c r="K293" s="70"/>
      <c r="L293" s="70"/>
      <c r="M293" s="70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0"/>
      <c r="J294" s="70"/>
      <c r="K294" s="70"/>
      <c r="L294" s="70"/>
      <c r="M294" s="70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0"/>
      <c r="J295" s="70"/>
      <c r="K295" s="70"/>
      <c r="L295" s="70"/>
      <c r="M295" s="70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0"/>
      <c r="J296" s="70"/>
      <c r="K296" s="70"/>
      <c r="L296" s="70"/>
      <c r="M296" s="70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0"/>
      <c r="J297" s="70"/>
      <c r="K297" s="70"/>
      <c r="L297" s="70"/>
      <c r="M297" s="70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0"/>
      <c r="J298" s="70"/>
      <c r="K298" s="70"/>
      <c r="L298" s="70"/>
      <c r="M298" s="70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0"/>
      <c r="J299" s="70"/>
      <c r="K299" s="70"/>
      <c r="L299" s="70"/>
      <c r="M299" s="70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0"/>
      <c r="J300" s="70"/>
      <c r="K300" s="70"/>
      <c r="L300" s="70"/>
      <c r="M300" s="70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0"/>
      <c r="J301" s="70"/>
      <c r="K301" s="70"/>
      <c r="L301" s="70"/>
      <c r="M301" s="70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0"/>
      <c r="J302" s="70"/>
      <c r="K302" s="70"/>
      <c r="L302" s="70"/>
      <c r="M302" s="70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0"/>
      <c r="J303" s="70"/>
      <c r="K303" s="70"/>
      <c r="L303" s="70"/>
      <c r="M303" s="70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0"/>
      <c r="J304" s="70"/>
      <c r="K304" s="70"/>
      <c r="L304" s="70"/>
      <c r="M304" s="70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0"/>
      <c r="J305" s="70"/>
      <c r="K305" s="70"/>
      <c r="L305" s="70"/>
      <c r="M305" s="70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0"/>
      <c r="J306" s="70"/>
      <c r="K306" s="70"/>
      <c r="L306" s="70"/>
      <c r="M306" s="70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0"/>
      <c r="J307" s="70"/>
      <c r="K307" s="70"/>
      <c r="L307" s="70"/>
      <c r="M307" s="70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0"/>
      <c r="J308" s="70"/>
      <c r="K308" s="70"/>
      <c r="L308" s="70"/>
      <c r="M308" s="70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0"/>
      <c r="J309" s="70"/>
      <c r="K309" s="70"/>
      <c r="L309" s="70"/>
      <c r="M309" s="70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0"/>
      <c r="J310" s="70"/>
      <c r="K310" s="70"/>
      <c r="L310" s="70"/>
      <c r="M310" s="70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0"/>
      <c r="J311" s="70"/>
      <c r="K311" s="70"/>
      <c r="L311" s="70"/>
      <c r="M311" s="70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0"/>
      <c r="J312" s="70"/>
      <c r="K312" s="70"/>
      <c r="L312" s="70"/>
      <c r="M312" s="70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0"/>
      <c r="J313" s="70"/>
      <c r="K313" s="70"/>
      <c r="L313" s="70"/>
      <c r="M313" s="70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0"/>
      <c r="J314" s="70"/>
      <c r="K314" s="70"/>
      <c r="L314" s="70"/>
      <c r="M314" s="70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0"/>
      <c r="J315" s="70"/>
      <c r="K315" s="70"/>
      <c r="L315" s="70"/>
      <c r="M315" s="70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0"/>
      <c r="J316" s="70"/>
      <c r="K316" s="70"/>
      <c r="L316" s="70"/>
      <c r="M316" s="70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0"/>
      <c r="J317" s="70"/>
      <c r="K317" s="70"/>
      <c r="L317" s="70"/>
      <c r="M317" s="70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0"/>
      <c r="J318" s="70"/>
      <c r="K318" s="70"/>
      <c r="L318" s="70"/>
      <c r="M318" s="70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0"/>
      <c r="J319" s="70"/>
      <c r="K319" s="70"/>
      <c r="L319" s="70"/>
      <c r="M319" s="70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0"/>
      <c r="J320" s="70"/>
      <c r="K320" s="70"/>
      <c r="L320" s="70"/>
      <c r="M320" s="70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0"/>
      <c r="J321" s="70"/>
      <c r="K321" s="70"/>
      <c r="L321" s="70"/>
      <c r="M321" s="70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0"/>
      <c r="J322" s="70"/>
      <c r="K322" s="70"/>
      <c r="L322" s="70"/>
      <c r="M322" s="70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0"/>
      <c r="J323" s="70"/>
      <c r="K323" s="70"/>
      <c r="L323" s="70"/>
      <c r="M323" s="70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0"/>
      <c r="J324" s="70"/>
      <c r="K324" s="70"/>
      <c r="L324" s="70"/>
      <c r="M324" s="70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0"/>
      <c r="J325" s="70"/>
      <c r="K325" s="70"/>
      <c r="L325" s="70"/>
      <c r="M325" s="70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0"/>
      <c r="J326" s="70"/>
      <c r="K326" s="70"/>
      <c r="L326" s="70"/>
      <c r="M326" s="70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0"/>
      <c r="J327" s="70"/>
      <c r="K327" s="70"/>
      <c r="L327" s="70"/>
      <c r="M327" s="70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0"/>
      <c r="J328" s="70"/>
      <c r="K328" s="70"/>
      <c r="L328" s="70"/>
      <c r="M328" s="70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0"/>
      <c r="J329" s="70"/>
      <c r="K329" s="70"/>
      <c r="L329" s="70"/>
      <c r="M329" s="70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0"/>
      <c r="J330" s="70"/>
      <c r="K330" s="70"/>
      <c r="L330" s="70"/>
      <c r="M330" s="70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0"/>
      <c r="J331" s="70"/>
      <c r="K331" s="70"/>
      <c r="L331" s="70"/>
      <c r="M331" s="70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0"/>
      <c r="J332" s="70"/>
      <c r="K332" s="70"/>
      <c r="L332" s="70"/>
      <c r="M332" s="70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0"/>
      <c r="J333" s="70"/>
      <c r="K333" s="70"/>
      <c r="L333" s="70"/>
      <c r="M333" s="70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0"/>
      <c r="J334" s="70"/>
      <c r="K334" s="70"/>
      <c r="L334" s="70"/>
      <c r="M334" s="70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0"/>
      <c r="J335" s="70"/>
      <c r="K335" s="70"/>
      <c r="L335" s="70"/>
      <c r="M335" s="70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0"/>
      <c r="J336" s="70"/>
      <c r="K336" s="70"/>
      <c r="L336" s="70"/>
      <c r="M336" s="70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0"/>
      <c r="J337" s="70"/>
      <c r="K337" s="70"/>
      <c r="L337" s="70"/>
      <c r="M337" s="70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0"/>
      <c r="J338" s="70"/>
      <c r="K338" s="70"/>
      <c r="L338" s="70"/>
      <c r="M338" s="70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0"/>
      <c r="J339" s="70"/>
      <c r="K339" s="70"/>
      <c r="L339" s="70"/>
      <c r="M339" s="70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0"/>
      <c r="J340" s="70"/>
      <c r="K340" s="70"/>
      <c r="L340" s="70"/>
      <c r="M340" s="70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0"/>
      <c r="J341" s="70"/>
      <c r="K341" s="70"/>
      <c r="L341" s="70"/>
      <c r="M341" s="70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0"/>
      <c r="J342" s="70"/>
      <c r="K342" s="70"/>
      <c r="L342" s="70"/>
      <c r="M342" s="70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0"/>
      <c r="J343" s="70"/>
      <c r="K343" s="70"/>
      <c r="L343" s="70"/>
      <c r="M343" s="70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0"/>
      <c r="J344" s="70"/>
      <c r="K344" s="70"/>
      <c r="L344" s="70"/>
      <c r="M344" s="70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0"/>
      <c r="J345" s="70"/>
      <c r="K345" s="70"/>
      <c r="L345" s="70"/>
      <c r="M345" s="70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0"/>
      <c r="J346" s="70"/>
      <c r="K346" s="70"/>
      <c r="L346" s="70"/>
      <c r="M346" s="70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0"/>
      <c r="J347" s="70"/>
      <c r="K347" s="70"/>
      <c r="L347" s="70"/>
      <c r="M347" s="70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0"/>
      <c r="J348" s="70"/>
      <c r="K348" s="70"/>
      <c r="L348" s="70"/>
      <c r="M348" s="70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0"/>
      <c r="J349" s="70"/>
      <c r="K349" s="70"/>
      <c r="L349" s="70"/>
      <c r="M349" s="70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0"/>
      <c r="J350" s="70"/>
      <c r="K350" s="70"/>
      <c r="L350" s="70"/>
      <c r="M350" s="70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0"/>
      <c r="J351" s="70"/>
      <c r="K351" s="70"/>
      <c r="L351" s="70"/>
      <c r="M351" s="70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0"/>
      <c r="J352" s="70"/>
      <c r="K352" s="70"/>
      <c r="L352" s="70"/>
      <c r="M352" s="70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0"/>
      <c r="J353" s="70"/>
      <c r="K353" s="70"/>
      <c r="L353" s="70"/>
      <c r="M353" s="70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0"/>
      <c r="J354" s="70"/>
      <c r="K354" s="70"/>
      <c r="L354" s="70"/>
      <c r="M354" s="70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0"/>
      <c r="J355" s="70"/>
      <c r="K355" s="70"/>
      <c r="L355" s="70"/>
      <c r="M355" s="70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0"/>
      <c r="J356" s="70"/>
      <c r="K356" s="70"/>
      <c r="L356" s="70"/>
      <c r="M356" s="70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P7" zoomScale="80" zoomScaleNormal="80" workbookViewId="0">
      <selection activeCell="G57" sqref="G57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0"/>
      <c r="G1" s="70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6" t="s">
        <v>272</v>
      </c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8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0" customFormat="1" x14ac:dyDescent="0.3">
      <c r="A3" s="97"/>
      <c r="B3" s="97"/>
      <c r="C3" s="97"/>
      <c r="D3" s="97"/>
      <c r="E3" s="97"/>
      <c r="F3" s="178"/>
      <c r="G3" s="178"/>
      <c r="H3" s="179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</row>
    <row r="4" spans="1:42" s="200" customFormat="1" x14ac:dyDescent="0.3">
      <c r="A4" s="97"/>
      <c r="B4" s="97"/>
      <c r="C4" s="97"/>
      <c r="D4" s="97"/>
      <c r="E4" s="97"/>
      <c r="G4" s="178"/>
      <c r="H4" s="338" t="s">
        <v>315</v>
      </c>
      <c r="I4" s="338"/>
      <c r="K4" s="335" t="s">
        <v>253</v>
      </c>
      <c r="L4" s="336"/>
      <c r="M4" s="266">
        <v>4.4999999999999998E-2</v>
      </c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</row>
    <row r="5" spans="1:42" s="200" customFormat="1" x14ac:dyDescent="0.3">
      <c r="A5" s="97"/>
      <c r="B5" s="97"/>
      <c r="C5" s="97"/>
      <c r="D5" s="97"/>
      <c r="E5" s="97"/>
      <c r="G5" s="178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</row>
    <row r="6" spans="1:42" s="200" customFormat="1" ht="15" thickBot="1" x14ac:dyDescent="0.35">
      <c r="A6" s="97"/>
      <c r="B6" s="97"/>
      <c r="C6" s="97"/>
      <c r="D6" s="97"/>
      <c r="E6" s="97"/>
      <c r="F6" s="227"/>
      <c r="G6" s="178"/>
      <c r="H6" s="180"/>
      <c r="I6" s="180"/>
      <c r="J6" s="180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</row>
    <row r="7" spans="1:42" s="200" customFormat="1" ht="27.75" customHeight="1" thickBot="1" x14ac:dyDescent="0.55000000000000004">
      <c r="A7" s="273"/>
      <c r="B7" s="274"/>
      <c r="C7" s="274"/>
      <c r="D7" s="274"/>
      <c r="E7" s="275"/>
      <c r="F7" s="275" t="s">
        <v>192</v>
      </c>
      <c r="G7" s="276"/>
      <c r="H7" s="274"/>
      <c r="I7" s="274"/>
      <c r="J7" s="277"/>
      <c r="K7" s="271"/>
      <c r="L7" s="272"/>
      <c r="M7" s="272"/>
      <c r="N7" s="278" t="s">
        <v>191</v>
      </c>
      <c r="O7" s="278"/>
      <c r="P7" s="279"/>
      <c r="Q7" s="280"/>
      <c r="R7" s="327" t="s">
        <v>310</v>
      </c>
      <c r="S7" s="328"/>
      <c r="T7" s="328"/>
      <c r="U7" s="328"/>
      <c r="V7" s="329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</row>
    <row r="8" spans="1:42" x14ac:dyDescent="0.3">
      <c r="A8" s="25"/>
      <c r="C8" s="25"/>
      <c r="D8" s="25"/>
      <c r="E8" s="25"/>
      <c r="F8" s="219"/>
      <c r="G8" s="219"/>
      <c r="H8" s="5"/>
      <c r="I8" s="5"/>
      <c r="J8" s="212"/>
      <c r="K8" s="223"/>
      <c r="L8" s="25"/>
      <c r="M8" s="25"/>
      <c r="N8" s="25"/>
      <c r="O8" s="25"/>
      <c r="P8" s="25"/>
      <c r="Q8" s="263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58" t="s">
        <v>311</v>
      </c>
      <c r="C9" s="25"/>
      <c r="D9" s="25"/>
      <c r="E9" s="25"/>
      <c r="F9" s="259"/>
      <c r="G9" s="258" t="s">
        <v>314</v>
      </c>
      <c r="J9" s="212"/>
      <c r="K9" s="223"/>
      <c r="O9" s="25"/>
      <c r="P9" s="25"/>
      <c r="Q9" s="263"/>
      <c r="R9" s="25"/>
      <c r="S9" s="5"/>
      <c r="T9" s="183" t="s">
        <v>262</v>
      </c>
      <c r="U9" s="186" t="s">
        <v>249</v>
      </c>
      <c r="V9" s="183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58" t="s">
        <v>317</v>
      </c>
      <c r="C10" s="25"/>
      <c r="D10" s="25"/>
      <c r="E10" s="25"/>
      <c r="F10" s="259"/>
      <c r="G10" s="258" t="s">
        <v>316</v>
      </c>
      <c r="J10" s="212"/>
      <c r="K10" s="223"/>
      <c r="O10" s="25"/>
      <c r="P10" s="25"/>
      <c r="Q10" s="263"/>
      <c r="R10" s="25"/>
      <c r="S10" s="183" t="str">
        <f>B14</f>
        <v>Pin d'Alep</v>
      </c>
      <c r="T10" s="18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409.87498050196842</v>
      </c>
      <c r="U10" s="188">
        <f>'Données projet'!D9</f>
        <v>1.079952</v>
      </c>
      <c r="V10" s="187">
        <f>U10*T10</f>
        <v>442.64530494306183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58" t="s">
        <v>312</v>
      </c>
      <c r="B11" s="25"/>
      <c r="C11" s="25"/>
      <c r="D11" s="25"/>
      <c r="E11" s="25"/>
      <c r="F11" s="259"/>
      <c r="G11" s="258" t="s">
        <v>313</v>
      </c>
      <c r="J11" s="212"/>
      <c r="K11" s="223"/>
      <c r="M11" s="5"/>
      <c r="N11" s="5"/>
      <c r="O11" s="25"/>
      <c r="P11" s="25"/>
      <c r="Q11" s="263"/>
      <c r="R11" s="25"/>
      <c r="S11" s="183" t="str">
        <f>B45</f>
        <v>Cyprès de Provence</v>
      </c>
      <c r="T11" s="270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155.16889269924809</v>
      </c>
      <c r="U11" s="188">
        <f>'Données projet'!D10</f>
        <v>1.03586</v>
      </c>
      <c r="V11" s="187">
        <f>U11*T11</f>
        <v>160.73324919144312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59"/>
      <c r="G12" s="1"/>
      <c r="J12" s="212"/>
      <c r="K12" s="223"/>
      <c r="L12" s="215"/>
      <c r="M12" s="25"/>
      <c r="N12" s="25"/>
      <c r="O12" s="25"/>
      <c r="P12" s="25"/>
      <c r="Q12" s="263"/>
      <c r="R12" s="25"/>
      <c r="S12" s="183" t="str">
        <f>B76</f>
        <v>Pin pignon</v>
      </c>
      <c r="T12" s="270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101.16400779146623</v>
      </c>
      <c r="U12" s="188">
        <f>'Données projet'!D11</f>
        <v>0.80996400000000002</v>
      </c>
      <c r="V12" s="187">
        <f t="shared" ref="V12:V19" si="0">U12*T12</f>
        <v>81.939204406807164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59"/>
      <c r="J13" s="25"/>
      <c r="K13" s="223"/>
      <c r="L13" s="182" t="s">
        <v>257</v>
      </c>
      <c r="M13" s="25"/>
      <c r="N13" s="25"/>
      <c r="O13" s="25"/>
      <c r="P13" s="25"/>
      <c r="Q13" s="263"/>
      <c r="R13" s="25"/>
      <c r="S13" s="183" t="str">
        <f>B107</f>
        <v>Cormier</v>
      </c>
      <c r="T13" s="270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214.27078589243814</v>
      </c>
      <c r="U13" s="188">
        <f>'Données projet'!D12</f>
        <v>1.2502799999999998</v>
      </c>
      <c r="V13" s="187">
        <f t="shared" si="0"/>
        <v>267.89847818559753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4" t="str">
        <f>IF('Données projet'!$B$9="","",'Données projet'!$B$9)</f>
        <v>Pin d'Alep</v>
      </c>
      <c r="C14" s="5"/>
      <c r="D14" s="5"/>
      <c r="E14" s="5"/>
      <c r="F14" s="259"/>
      <c r="G14" s="219"/>
      <c r="H14" s="183" t="s">
        <v>178</v>
      </c>
      <c r="I14" s="183" t="s">
        <v>290</v>
      </c>
      <c r="J14" s="213"/>
      <c r="K14" s="181"/>
      <c r="L14" s="215"/>
      <c r="M14" s="25"/>
      <c r="N14" s="25"/>
      <c r="O14" s="5"/>
      <c r="P14" s="5"/>
      <c r="Q14" s="264"/>
      <c r="R14" s="5"/>
      <c r="S14" s="183" t="str">
        <f>B138</f>
        <v>Erable champêtre</v>
      </c>
      <c r="T14" s="270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464.81782826876429</v>
      </c>
      <c r="U14" s="188">
        <f>'Données projet'!D13</f>
        <v>0.50615199999999994</v>
      </c>
      <c r="V14" s="187">
        <f t="shared" si="0"/>
        <v>235.26847341389154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59"/>
      <c r="G15" s="339" t="s">
        <v>318</v>
      </c>
      <c r="H15" s="201">
        <v>0</v>
      </c>
      <c r="I15" s="202">
        <v>0</v>
      </c>
      <c r="J15" s="214"/>
      <c r="K15" s="223"/>
      <c r="L15" s="215"/>
      <c r="M15" s="25"/>
      <c r="N15" s="25"/>
      <c r="O15" s="25"/>
      <c r="P15" s="25"/>
      <c r="Q15" s="263"/>
      <c r="R15" s="25"/>
      <c r="S15" s="183" t="str">
        <f>B169</f>
        <v>Chêne chevelu</v>
      </c>
      <c r="T15" s="270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214.27078589243814</v>
      </c>
      <c r="U15" s="188">
        <f>'Données projet'!D14</f>
        <v>0.33401200000000003</v>
      </c>
      <c r="V15" s="187">
        <f t="shared" si="0"/>
        <v>71.56901373750506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5" t="s">
        <v>180</v>
      </c>
      <c r="B16" s="51" t="s">
        <v>256</v>
      </c>
      <c r="C16" s="51" t="s">
        <v>255</v>
      </c>
      <c r="D16" s="255" t="s">
        <v>252</v>
      </c>
      <c r="E16" s="255" t="s">
        <v>320</v>
      </c>
      <c r="F16" s="259"/>
      <c r="G16" s="339"/>
      <c r="H16" s="201"/>
      <c r="I16" s="202"/>
      <c r="J16" s="214"/>
      <c r="K16" s="223"/>
      <c r="L16" s="335" t="s">
        <v>254</v>
      </c>
      <c r="M16" s="336"/>
      <c r="N16" s="2"/>
      <c r="O16" s="25"/>
      <c r="P16" s="25"/>
      <c r="Q16" s="263"/>
      <c r="R16" s="25"/>
      <c r="S16" s="183" t="str">
        <f>B200</f>
        <v>Cèdre de l'Atlas</v>
      </c>
      <c r="T16" s="270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714.57295242642726</v>
      </c>
      <c r="U16" s="188">
        <f>'Données projet'!D15</f>
        <v>0.32374400000000003</v>
      </c>
      <c r="V16" s="187">
        <f t="shared" si="0"/>
        <v>231.3387059103413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08">
        <v>0</v>
      </c>
      <c r="B17" s="211" t="s">
        <v>132</v>
      </c>
      <c r="C17" s="210" t="s">
        <v>132</v>
      </c>
      <c r="D17" s="209" t="s">
        <v>132</v>
      </c>
      <c r="E17" s="204"/>
      <c r="F17" s="259"/>
      <c r="G17" s="339"/>
      <c r="J17" s="214"/>
      <c r="K17" s="223"/>
      <c r="L17" s="293" t="s">
        <v>289</v>
      </c>
      <c r="M17" s="295"/>
      <c r="N17" s="185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3"/>
      <c r="R17" s="25"/>
      <c r="S17" s="183" t="str">
        <f>B231</f>
        <v>Aulne à feuilles en cœur</v>
      </c>
      <c r="T17" s="270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436.5759175571784</v>
      </c>
      <c r="U17" s="188">
        <f>'Données projet'!D16</f>
        <v>0.20415199999999997</v>
      </c>
      <c r="V17" s="187">
        <f t="shared" si="0"/>
        <v>89.127846721133068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08">
        <v>1</v>
      </c>
      <c r="B18" s="211" t="s">
        <v>132</v>
      </c>
      <c r="C18" s="210" t="s">
        <v>132</v>
      </c>
      <c r="D18" s="209" t="s">
        <v>132</v>
      </c>
      <c r="E18" s="204"/>
      <c r="F18" s="259"/>
      <c r="G18" s="339"/>
      <c r="J18" s="214"/>
      <c r="K18" s="223"/>
      <c r="L18" s="293" t="s">
        <v>255</v>
      </c>
      <c r="M18" s="295"/>
      <c r="N18" s="203"/>
      <c r="O18" s="25"/>
      <c r="P18" s="25"/>
      <c r="Q18" s="263"/>
      <c r="R18" s="25"/>
      <c r="S18" s="183" t="str">
        <f>B262</f>
        <v>Pin de Salzmann</v>
      </c>
      <c r="T18" s="270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1120.8942677571738</v>
      </c>
      <c r="U18" s="188">
        <f>'Données projet'!D17</f>
        <v>0.16187200000000002</v>
      </c>
      <c r="V18" s="187">
        <f t="shared" si="0"/>
        <v>181.44139691038924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08">
        <v>2</v>
      </c>
      <c r="B19" s="211" t="s">
        <v>132</v>
      </c>
      <c r="C19" s="210" t="s">
        <v>132</v>
      </c>
      <c r="D19" s="209" t="s">
        <v>132</v>
      </c>
      <c r="E19" s="204"/>
      <c r="F19" s="259"/>
      <c r="G19" s="339"/>
      <c r="H19" s="230" t="s">
        <v>178</v>
      </c>
      <c r="I19" s="230" t="s">
        <v>287</v>
      </c>
      <c r="J19" s="258"/>
      <c r="K19" s="181"/>
      <c r="L19" s="335" t="s">
        <v>288</v>
      </c>
      <c r="M19" s="336"/>
      <c r="N19" s="189">
        <f>N17*N18</f>
        <v>0</v>
      </c>
      <c r="O19" s="25"/>
      <c r="P19" s="5"/>
      <c r="Q19" s="264"/>
      <c r="R19" s="5"/>
      <c r="S19" s="183" t="str">
        <f>B293</f>
        <v>Tilleul</v>
      </c>
      <c r="T19" s="270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252.07259099652427</v>
      </c>
      <c r="U19" s="188">
        <f>'Données projet'!D18</f>
        <v>0.140128</v>
      </c>
      <c r="V19" s="187">
        <f t="shared" si="0"/>
        <v>35.322428031160953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08">
        <v>3</v>
      </c>
      <c r="B20" s="211" t="s">
        <v>132</v>
      </c>
      <c r="C20" s="210" t="s">
        <v>132</v>
      </c>
      <c r="D20" s="209" t="s">
        <v>132</v>
      </c>
      <c r="E20" s="204"/>
      <c r="F20" s="259"/>
      <c r="G20" s="339"/>
      <c r="H20" s="201">
        <v>0</v>
      </c>
      <c r="I20" s="202">
        <v>10000</v>
      </c>
      <c r="J20" s="5"/>
      <c r="K20" s="181"/>
      <c r="O20" s="25"/>
      <c r="P20" s="5"/>
      <c r="Q20" s="264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08">
        <v>4</v>
      </c>
      <c r="B21" s="211" t="s">
        <v>132</v>
      </c>
      <c r="C21" s="210" t="s">
        <v>132</v>
      </c>
      <c r="D21" s="209" t="s">
        <v>132</v>
      </c>
      <c r="E21" s="204"/>
      <c r="F21" s="259"/>
      <c r="H21" s="201"/>
      <c r="I21" s="202"/>
      <c r="K21" s="181"/>
      <c r="O21" s="25"/>
      <c r="P21" s="5"/>
      <c r="Q21" s="264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08">
        <v>5</v>
      </c>
      <c r="B22" s="211" t="s">
        <v>132</v>
      </c>
      <c r="C22" s="210" t="s">
        <v>132</v>
      </c>
      <c r="D22" s="209" t="s">
        <v>132</v>
      </c>
      <c r="E22" s="204"/>
      <c r="F22" s="259"/>
      <c r="H22" s="201"/>
      <c r="I22" s="202"/>
      <c r="K22" s="181"/>
      <c r="O22" s="25"/>
      <c r="P22" s="5"/>
      <c r="Q22" s="264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0">
        <f>'Données projet'!A36</f>
        <v>15</v>
      </c>
      <c r="B23" s="191">
        <f>'Données projet'!D36</f>
        <v>0</v>
      </c>
      <c r="C23" s="204"/>
      <c r="D23" s="192">
        <f>B23*C23</f>
        <v>0</v>
      </c>
      <c r="E23" s="204"/>
      <c r="F23" s="259"/>
      <c r="H23" s="201"/>
      <c r="I23" s="202"/>
      <c r="K23" s="223"/>
      <c r="L23" s="337" t="s">
        <v>260</v>
      </c>
      <c r="M23" s="337"/>
      <c r="N23" s="337"/>
      <c r="O23" s="25"/>
      <c r="P23" s="25"/>
      <c r="Q23" s="263"/>
      <c r="R23" s="25"/>
      <c r="S23" s="183" t="s">
        <v>264</v>
      </c>
      <c r="T23" s="332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-58602.715898548668</v>
      </c>
      <c r="U23" s="332"/>
      <c r="V23" s="332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0">
        <f>'Données projet'!A37</f>
        <v>20</v>
      </c>
      <c r="B24" s="191">
        <f>'Données projet'!D37</f>
        <v>0</v>
      </c>
      <c r="C24" s="204"/>
      <c r="D24" s="192">
        <f t="shared" ref="D24:D42" si="1">B24*C24</f>
        <v>0</v>
      </c>
      <c r="E24" s="204"/>
      <c r="F24" s="262"/>
      <c r="H24" s="201"/>
      <c r="I24" s="202"/>
      <c r="K24" s="223"/>
      <c r="O24" s="25"/>
      <c r="P24" s="25"/>
      <c r="Q24" s="263"/>
      <c r="R24" s="25"/>
      <c r="S24" s="183" t="s">
        <v>261</v>
      </c>
      <c r="T24" s="333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3"/>
      <c r="V24" s="333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0">
        <f>'Données projet'!A38</f>
        <v>25</v>
      </c>
      <c r="B25" s="191">
        <f>'Données projet'!D38</f>
        <v>0</v>
      </c>
      <c r="C25" s="204"/>
      <c r="D25" s="192">
        <f t="shared" si="1"/>
        <v>0</v>
      </c>
      <c r="E25" s="204"/>
      <c r="F25" s="262"/>
      <c r="G25" s="1"/>
      <c r="H25" s="201"/>
      <c r="I25" s="202"/>
      <c r="K25" s="223"/>
      <c r="L25" s="269" t="s">
        <v>285</v>
      </c>
      <c r="M25" s="269"/>
      <c r="N25" s="269"/>
      <c r="O25" s="269"/>
      <c r="P25" s="203">
        <v>0</v>
      </c>
      <c r="Q25" s="263"/>
      <c r="R25" s="25"/>
      <c r="S25" s="196" t="s">
        <v>266</v>
      </c>
      <c r="T25" s="334">
        <f ca="1">T23-T24</f>
        <v>-58602.715898548668</v>
      </c>
      <c r="U25" s="334"/>
      <c r="V25" s="334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0">
        <f>'Données projet'!A39</f>
        <v>30</v>
      </c>
      <c r="B26" s="191">
        <f>'Données projet'!D39</f>
        <v>0</v>
      </c>
      <c r="C26" s="204"/>
      <c r="D26" s="192">
        <f t="shared" si="1"/>
        <v>0</v>
      </c>
      <c r="E26" s="204"/>
      <c r="F26" s="262"/>
      <c r="G26" s="257"/>
      <c r="H26" s="201"/>
      <c r="I26" s="202"/>
      <c r="K26" s="223"/>
      <c r="L26" s="321" t="s">
        <v>258</v>
      </c>
      <c r="M26" s="322"/>
      <c r="N26" s="322"/>
      <c r="O26" s="322"/>
      <c r="P26" s="323"/>
      <c r="Q26" s="263"/>
      <c r="R26" s="25"/>
      <c r="S26" s="196" t="s">
        <v>265</v>
      </c>
      <c r="T26" s="331" t="str">
        <f ca="1">IF(T25&lt;0,"Votre projet est additionnel","Votre projet n'est pas additionnel")</f>
        <v>Votre projet est additionnel</v>
      </c>
      <c r="U26" s="331"/>
      <c r="V26" s="331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0">
        <f>'Données projet'!A40</f>
        <v>36</v>
      </c>
      <c r="B27" s="191">
        <f>'Données projet'!D40</f>
        <v>34.892307692307689</v>
      </c>
      <c r="C27" s="204">
        <v>10</v>
      </c>
      <c r="D27" s="192">
        <f t="shared" ref="D27:D34" si="2">B27*C27</f>
        <v>348.92307692307691</v>
      </c>
      <c r="E27" s="204"/>
      <c r="F27" s="262"/>
      <c r="G27" s="257"/>
      <c r="H27" s="201"/>
      <c r="I27" s="202"/>
      <c r="K27" s="223"/>
      <c r="L27" s="324"/>
      <c r="M27" s="325"/>
      <c r="N27" s="325"/>
      <c r="O27" s="325"/>
      <c r="P27" s="326"/>
      <c r="Q27" s="263"/>
      <c r="R27" s="25"/>
      <c r="S27" s="330" t="s">
        <v>267</v>
      </c>
      <c r="T27" s="330"/>
      <c r="U27" s="330"/>
      <c r="V27" s="330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0">
        <f>'Données projet'!A41</f>
        <v>44</v>
      </c>
      <c r="B28" s="191">
        <f>'Données projet'!D41</f>
        <v>0</v>
      </c>
      <c r="C28" s="204"/>
      <c r="D28" s="192">
        <f t="shared" si="2"/>
        <v>0</v>
      </c>
      <c r="E28" s="204"/>
      <c r="F28" s="262"/>
      <c r="G28" s="220"/>
      <c r="H28" s="201"/>
      <c r="I28" s="202"/>
      <c r="K28" s="223"/>
      <c r="Q28" s="263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0">
        <f>'Données projet'!A42</f>
        <v>52</v>
      </c>
      <c r="B29" s="191">
        <f>'Données projet'!D42</f>
        <v>77.107692307692304</v>
      </c>
      <c r="C29" s="204">
        <v>15</v>
      </c>
      <c r="D29" s="192">
        <f t="shared" si="2"/>
        <v>1156.6153846153845</v>
      </c>
      <c r="E29" s="204"/>
      <c r="F29" s="262"/>
      <c r="G29" s="216"/>
      <c r="H29" s="201"/>
      <c r="I29" s="202"/>
      <c r="K29" s="223"/>
      <c r="O29" s="25"/>
      <c r="P29" s="25"/>
      <c r="Q29" s="263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0">
        <f>'Données projet'!A43</f>
        <v>59</v>
      </c>
      <c r="B30" s="191">
        <f>'Données projet'!D43</f>
        <v>0</v>
      </c>
      <c r="C30" s="204"/>
      <c r="D30" s="192">
        <f t="shared" si="2"/>
        <v>0</v>
      </c>
      <c r="E30" s="204"/>
      <c r="F30" s="262"/>
      <c r="G30" s="216"/>
      <c r="H30" s="201"/>
      <c r="I30" s="202"/>
      <c r="K30" s="193"/>
      <c r="L30" s="183" t="s">
        <v>259</v>
      </c>
      <c r="M30" s="194">
        <f ca="1">SUM(OFFSET($P$33,0,0,MIN('Données projet'!$E$9:$E$18)+1,1))</f>
        <v>0</v>
      </c>
      <c r="O30" s="5"/>
      <c r="P30" s="5"/>
      <c r="Q30" s="264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0">
        <f>'Données projet'!A44</f>
        <v>66</v>
      </c>
      <c r="B31" s="191">
        <f>'Données projet'!D44</f>
        <v>0</v>
      </c>
      <c r="C31" s="204"/>
      <c r="D31" s="192">
        <f t="shared" si="2"/>
        <v>0</v>
      </c>
      <c r="E31" s="204"/>
      <c r="F31" s="262"/>
      <c r="G31" s="216"/>
      <c r="H31" s="201"/>
      <c r="I31" s="202"/>
      <c r="K31" s="181"/>
      <c r="Q31" s="263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0">
        <f>'Données projet'!A45</f>
        <v>74</v>
      </c>
      <c r="B32" s="191">
        <f>'Données projet'!D45</f>
        <v>114.9153846153846</v>
      </c>
      <c r="C32" s="204">
        <v>20</v>
      </c>
      <c r="D32" s="192">
        <f t="shared" si="2"/>
        <v>2298.3076923076919</v>
      </c>
      <c r="E32" s="204"/>
      <c r="F32" s="262"/>
      <c r="G32" s="216"/>
      <c r="H32" s="201"/>
      <c r="I32" s="202"/>
      <c r="K32" s="181"/>
      <c r="N32" s="5"/>
      <c r="O32" s="268" t="s">
        <v>178</v>
      </c>
      <c r="P32" s="268" t="s">
        <v>252</v>
      </c>
      <c r="Q32" s="263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0">
        <f>'Données projet'!A46</f>
        <v>82</v>
      </c>
      <c r="B33" s="191">
        <f>'Données projet'!D46</f>
        <v>0</v>
      </c>
      <c r="C33" s="204"/>
      <c r="D33" s="192">
        <f t="shared" si="2"/>
        <v>0</v>
      </c>
      <c r="E33" s="204"/>
      <c r="F33" s="262"/>
      <c r="G33" s="216"/>
      <c r="H33" s="201"/>
      <c r="I33" s="202"/>
      <c r="K33" s="181"/>
      <c r="L33" s="5"/>
      <c r="M33" s="5"/>
      <c r="N33" s="5"/>
      <c r="O33" s="205">
        <v>0</v>
      </c>
      <c r="P33" s="195">
        <f t="shared" ref="P33:P64" si="3">$P$25/(1+$M$4)^O33</f>
        <v>0</v>
      </c>
      <c r="Q33" s="263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0">
        <f>'Données projet'!A47</f>
        <v>89</v>
      </c>
      <c r="B34" s="191">
        <f>'Données projet'!D47</f>
        <v>166.66923076923075</v>
      </c>
      <c r="C34" s="204">
        <v>40</v>
      </c>
      <c r="D34" s="192">
        <f t="shared" si="2"/>
        <v>6666.7692307692305</v>
      </c>
      <c r="E34" s="204"/>
      <c r="F34" s="262"/>
      <c r="G34" s="216"/>
      <c r="H34" s="201"/>
      <c r="I34" s="202"/>
      <c r="K34" s="181"/>
      <c r="L34" s="282"/>
      <c r="M34" s="282"/>
      <c r="N34" s="283"/>
      <c r="O34" s="205">
        <f>IF(O33+1&lt;=MIN('Données projet'!$E$9:$E$18),O33+1,"STOP")</f>
        <v>1</v>
      </c>
      <c r="P34" s="195">
        <f t="shared" si="3"/>
        <v>0</v>
      </c>
      <c r="Q34" s="263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0">
        <f>'Données projet'!A48</f>
        <v>0</v>
      </c>
      <c r="B35" s="191">
        <f>'Données projet'!D48</f>
        <v>0</v>
      </c>
      <c r="C35" s="204"/>
      <c r="D35" s="192">
        <f t="shared" si="1"/>
        <v>0</v>
      </c>
      <c r="E35" s="204"/>
      <c r="F35" s="262"/>
      <c r="G35" s="216"/>
      <c r="H35" s="201"/>
      <c r="I35" s="202"/>
      <c r="K35" s="181"/>
      <c r="L35" s="282"/>
      <c r="M35" s="282"/>
      <c r="N35" s="283"/>
      <c r="O35" s="205">
        <f>IF(O34+1&lt;=MIN('Données projet'!$E$9:$E$18),O34+1,"STOP")</f>
        <v>2</v>
      </c>
      <c r="P35" s="195">
        <f t="shared" si="3"/>
        <v>0</v>
      </c>
      <c r="Q35" s="263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0">
        <f>'Données projet'!A49</f>
        <v>0</v>
      </c>
      <c r="B36" s="191">
        <f>'Données projet'!D49</f>
        <v>0</v>
      </c>
      <c r="C36" s="204"/>
      <c r="D36" s="192">
        <f t="shared" si="1"/>
        <v>0</v>
      </c>
      <c r="E36" s="204"/>
      <c r="F36" s="262"/>
      <c r="G36" s="216"/>
      <c r="H36" s="201"/>
      <c r="I36" s="202"/>
      <c r="K36" s="181"/>
      <c r="L36" s="25"/>
      <c r="M36" s="25"/>
      <c r="N36" s="25"/>
      <c r="O36" s="205">
        <f>IF(O35+1&lt;=MIN('Données projet'!$E$9:$E$18),O35+1,"STOP")</f>
        <v>3</v>
      </c>
      <c r="P36" s="195">
        <f t="shared" si="3"/>
        <v>0</v>
      </c>
      <c r="Q36" s="263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0">
        <f>'Données projet'!A50</f>
        <v>0</v>
      </c>
      <c r="B37" s="191">
        <f>'Données projet'!D50</f>
        <v>0</v>
      </c>
      <c r="C37" s="204"/>
      <c r="D37" s="192">
        <f t="shared" si="1"/>
        <v>0</v>
      </c>
      <c r="E37" s="204"/>
      <c r="F37" s="262"/>
      <c r="G37" s="216"/>
      <c r="H37" s="201"/>
      <c r="I37" s="202"/>
      <c r="K37" s="181"/>
      <c r="L37" s="25"/>
      <c r="M37" s="25"/>
      <c r="N37" s="25"/>
      <c r="O37" s="205">
        <f>IF(O36+1&lt;=MIN('Données projet'!$E$9:$E$18),O36+1,"STOP")</f>
        <v>4</v>
      </c>
      <c r="P37" s="195">
        <f t="shared" si="3"/>
        <v>0</v>
      </c>
      <c r="Q37" s="263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0">
        <f>'Données projet'!A51</f>
        <v>0</v>
      </c>
      <c r="B38" s="191">
        <f>'Données projet'!D51</f>
        <v>0</v>
      </c>
      <c r="C38" s="204"/>
      <c r="D38" s="192">
        <f t="shared" si="1"/>
        <v>0</v>
      </c>
      <c r="E38" s="204"/>
      <c r="F38" s="262"/>
      <c r="G38" s="216"/>
      <c r="H38" s="201"/>
      <c r="I38" s="202"/>
      <c r="K38" s="181"/>
      <c r="L38" s="25"/>
      <c r="M38" s="25"/>
      <c r="N38" s="25"/>
      <c r="O38" s="205">
        <f>IF(O37+1&lt;=MIN('Données projet'!$E$9:$E$18),O37+1,"STOP")</f>
        <v>5</v>
      </c>
      <c r="P38" s="195">
        <f t="shared" si="3"/>
        <v>0</v>
      </c>
      <c r="Q38" s="263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0">
        <f>'Données projet'!A52</f>
        <v>0</v>
      </c>
      <c r="B39" s="191">
        <f>'Données projet'!D52</f>
        <v>0</v>
      </c>
      <c r="C39" s="204"/>
      <c r="D39" s="192">
        <f t="shared" si="1"/>
        <v>0</v>
      </c>
      <c r="E39" s="204"/>
      <c r="F39" s="262"/>
      <c r="G39" s="216"/>
      <c r="H39" s="201"/>
      <c r="I39" s="202"/>
      <c r="K39" s="223"/>
      <c r="L39" s="25"/>
      <c r="M39" s="25"/>
      <c r="N39" s="25"/>
      <c r="O39" s="205">
        <f>IF(O38+1&lt;=MIN('Données projet'!$E$9:$E$18),O38+1,"STOP")</f>
        <v>6</v>
      </c>
      <c r="P39" s="195">
        <f t="shared" si="3"/>
        <v>0</v>
      </c>
      <c r="Q39" s="263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0">
        <f>'Données projet'!A53</f>
        <v>0</v>
      </c>
      <c r="B40" s="191">
        <f>'Données projet'!D53</f>
        <v>0</v>
      </c>
      <c r="C40" s="204"/>
      <c r="D40" s="192">
        <f t="shared" si="1"/>
        <v>0</v>
      </c>
      <c r="E40" s="204"/>
      <c r="F40" s="262"/>
      <c r="G40" s="216"/>
      <c r="H40" s="201"/>
      <c r="I40" s="202"/>
      <c r="K40" s="223"/>
      <c r="L40" s="25"/>
      <c r="M40" s="25"/>
      <c r="N40" s="25"/>
      <c r="O40" s="205">
        <f>IF(O39+1&lt;=MIN('Données projet'!$E$9:$E$18),O39+1,"STOP")</f>
        <v>7</v>
      </c>
      <c r="P40" s="195">
        <f t="shared" si="3"/>
        <v>0</v>
      </c>
      <c r="Q40" s="263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0">
        <f>'Données projet'!A54</f>
        <v>0</v>
      </c>
      <c r="B41" s="191">
        <f>'Données projet'!D54</f>
        <v>0</v>
      </c>
      <c r="C41" s="204"/>
      <c r="D41" s="192">
        <f t="shared" si="1"/>
        <v>0</v>
      </c>
      <c r="E41" s="204"/>
      <c r="F41" s="262"/>
      <c r="G41" s="216"/>
      <c r="H41" s="201"/>
      <c r="I41" s="202"/>
      <c r="K41" s="223"/>
      <c r="L41" s="25"/>
      <c r="M41" s="25"/>
      <c r="N41" s="25"/>
      <c r="O41" s="205">
        <f>IF(O40+1&lt;=MIN('Données projet'!$E$9:$E$18),O40+1,"STOP")</f>
        <v>8</v>
      </c>
      <c r="P41" s="195">
        <f t="shared" si="3"/>
        <v>0</v>
      </c>
      <c r="Q41" s="263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0">
        <f>'Données projet'!A55</f>
        <v>0</v>
      </c>
      <c r="B42" s="191">
        <f>'Données projet'!D55</f>
        <v>0</v>
      </c>
      <c r="C42" s="204"/>
      <c r="D42" s="192">
        <f t="shared" si="1"/>
        <v>0</v>
      </c>
      <c r="E42" s="204"/>
      <c r="F42" s="262"/>
      <c r="G42" s="216"/>
      <c r="H42" s="201"/>
      <c r="I42" s="202"/>
      <c r="K42" s="223"/>
      <c r="L42" s="25"/>
      <c r="M42" s="25"/>
      <c r="N42" s="25"/>
      <c r="O42" s="205">
        <f>IF(O41+1&lt;=MIN('Données projet'!$E$9:$E$18),O41+1,"STOP")</f>
        <v>9</v>
      </c>
      <c r="P42" s="195">
        <f t="shared" si="3"/>
        <v>0</v>
      </c>
      <c r="Q42" s="263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7"/>
      <c r="B43" s="197"/>
      <c r="C43" s="197"/>
      <c r="D43" s="254"/>
      <c r="E43" s="254"/>
      <c r="F43" s="267"/>
      <c r="G43" s="216"/>
      <c r="H43" s="201"/>
      <c r="I43" s="202"/>
      <c r="K43" s="223"/>
      <c r="L43" s="25"/>
      <c r="M43" s="25"/>
      <c r="N43" s="25"/>
      <c r="O43" s="205">
        <f>IF(O42+1&lt;=MIN('Données projet'!$E$9:$E$18),O42+1,"STOP")</f>
        <v>10</v>
      </c>
      <c r="P43" s="195">
        <f t="shared" si="3"/>
        <v>0</v>
      </c>
      <c r="Q43" s="264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59"/>
      <c r="G44" s="216"/>
      <c r="H44" s="201"/>
      <c r="I44" s="202"/>
      <c r="K44" s="223"/>
      <c r="L44" s="25"/>
      <c r="M44" s="25"/>
      <c r="N44" s="25"/>
      <c r="O44" s="205">
        <f>IF(O43+1&lt;=MIN('Données projet'!$E$9:$E$18),O43+1,"STOP")</f>
        <v>11</v>
      </c>
      <c r="P44" s="195">
        <f t="shared" si="3"/>
        <v>0</v>
      </c>
      <c r="Q44" s="264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4" t="str">
        <f>IF('Données projet'!$B$10="","",'Données projet'!$B$10)</f>
        <v>Cyprès de Provence</v>
      </c>
      <c r="C45" s="5"/>
      <c r="D45" s="5"/>
      <c r="E45" s="5"/>
      <c r="F45" s="259"/>
      <c r="G45" s="216"/>
      <c r="H45" s="201"/>
      <c r="I45" s="202"/>
      <c r="J45" s="25"/>
      <c r="K45" s="223"/>
      <c r="L45" s="25"/>
      <c r="M45" s="25"/>
      <c r="N45" s="25"/>
      <c r="O45" s="205">
        <f>IF(O44+1&lt;=MIN('Données projet'!$E$9:$E$18),O44+1,"STOP")</f>
        <v>12</v>
      </c>
      <c r="P45" s="195">
        <f t="shared" si="3"/>
        <v>0</v>
      </c>
      <c r="Q45" s="264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59"/>
      <c r="G46" s="216"/>
      <c r="H46" s="201"/>
      <c r="I46" s="202"/>
      <c r="J46" s="25"/>
      <c r="K46" s="223"/>
      <c r="L46" s="218"/>
      <c r="M46" s="218"/>
      <c r="N46" s="218"/>
      <c r="O46" s="205">
        <f>IF(O45+1&lt;=MIN('Données projet'!$E$9:$E$18),O45+1,"STOP")</f>
        <v>13</v>
      </c>
      <c r="P46" s="198">
        <f t="shared" si="3"/>
        <v>0</v>
      </c>
      <c r="Q46" s="264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5" t="s">
        <v>180</v>
      </c>
      <c r="B47" s="51" t="s">
        <v>256</v>
      </c>
      <c r="C47" s="51" t="s">
        <v>255</v>
      </c>
      <c r="D47" s="255" t="s">
        <v>252</v>
      </c>
      <c r="E47" s="255" t="s">
        <v>320</v>
      </c>
      <c r="F47" s="260"/>
      <c r="G47" s="216"/>
      <c r="H47" s="201"/>
      <c r="I47" s="202"/>
      <c r="J47" s="25"/>
      <c r="K47" s="223"/>
      <c r="L47" s="5"/>
      <c r="M47" s="5"/>
      <c r="N47" s="5"/>
      <c r="O47" s="205">
        <f>IF(O46+1&lt;=MIN('Données projet'!$E$9:$E$18),O46+1,"STOP")</f>
        <v>14</v>
      </c>
      <c r="P47" s="195">
        <f t="shared" si="3"/>
        <v>0</v>
      </c>
      <c r="Q47" s="264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08">
        <v>0</v>
      </c>
      <c r="B48" s="211" t="s">
        <v>132</v>
      </c>
      <c r="C48" s="210" t="s">
        <v>132</v>
      </c>
      <c r="D48" s="209" t="s">
        <v>132</v>
      </c>
      <c r="E48" s="204"/>
      <c r="F48" s="260"/>
      <c r="G48" s="216"/>
      <c r="H48" s="201"/>
      <c r="I48" s="202"/>
      <c r="J48" s="25"/>
      <c r="K48" s="223"/>
      <c r="L48" s="5"/>
      <c r="M48" s="5"/>
      <c r="N48" s="5"/>
      <c r="O48" s="205">
        <f>IF(O47+1&lt;=MIN('Données projet'!$E$9:$E$18),O47+1,"STOP")</f>
        <v>15</v>
      </c>
      <c r="P48" s="195">
        <f t="shared" si="3"/>
        <v>0</v>
      </c>
      <c r="Q48" s="264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6" customFormat="1" ht="17.25" customHeight="1" x14ac:dyDescent="0.3">
      <c r="A49" s="208">
        <v>1</v>
      </c>
      <c r="B49" s="211" t="s">
        <v>132</v>
      </c>
      <c r="C49" s="210" t="s">
        <v>132</v>
      </c>
      <c r="D49" s="209" t="s">
        <v>132</v>
      </c>
      <c r="E49" s="204"/>
      <c r="F49" s="260"/>
      <c r="G49" s="217"/>
      <c r="H49" s="201"/>
      <c r="I49" s="202"/>
      <c r="J49" s="218"/>
      <c r="K49" s="225"/>
      <c r="L49" s="5"/>
      <c r="M49" s="5"/>
      <c r="N49" s="5"/>
      <c r="O49" s="205">
        <f>IF(O48+1&lt;=MIN('Données projet'!$E$9:$E$18),O48+1,"STOP")</f>
        <v>16</v>
      </c>
      <c r="P49" s="195">
        <f t="shared" si="3"/>
        <v>0</v>
      </c>
      <c r="Q49" s="265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197"/>
      <c r="AT49" s="197"/>
      <c r="AU49" s="197"/>
      <c r="AV49" s="197"/>
      <c r="AW49" s="197"/>
      <c r="AX49" s="197"/>
      <c r="AY49" s="197"/>
      <c r="AZ49" s="197"/>
      <c r="BA49" s="197"/>
      <c r="BB49" s="197"/>
      <c r="BC49" s="197"/>
      <c r="BD49" s="197"/>
    </row>
    <row r="50" spans="1:56" x14ac:dyDescent="0.3">
      <c r="A50" s="208">
        <v>2</v>
      </c>
      <c r="B50" s="211" t="s">
        <v>132</v>
      </c>
      <c r="C50" s="210" t="s">
        <v>132</v>
      </c>
      <c r="D50" s="209" t="s">
        <v>132</v>
      </c>
      <c r="E50" s="204"/>
      <c r="F50" s="260"/>
      <c r="G50" s="219"/>
      <c r="H50" s="201"/>
      <c r="I50" s="202"/>
      <c r="J50" s="25"/>
      <c r="K50" s="181"/>
      <c r="L50" s="5"/>
      <c r="M50" s="5"/>
      <c r="N50" s="5"/>
      <c r="O50" s="205">
        <f>IF(O49+1&lt;=MIN('Données projet'!$E$9:$E$18),O49+1,"STOP")</f>
        <v>17</v>
      </c>
      <c r="P50" s="195">
        <f t="shared" si="3"/>
        <v>0</v>
      </c>
      <c r="Q50" s="264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08">
        <v>3</v>
      </c>
      <c r="B51" s="211" t="s">
        <v>132</v>
      </c>
      <c r="C51" s="210" t="s">
        <v>132</v>
      </c>
      <c r="D51" s="209" t="s">
        <v>132</v>
      </c>
      <c r="E51" s="204"/>
      <c r="F51" s="260"/>
      <c r="G51" s="219"/>
      <c r="H51" s="201"/>
      <c r="I51" s="202"/>
      <c r="J51" s="25"/>
      <c r="K51" s="181"/>
      <c r="L51" s="5"/>
      <c r="M51" s="5"/>
      <c r="N51" s="5"/>
      <c r="O51" s="205">
        <f>IF(O50+1&lt;=MIN('Données projet'!$E$9:$E$18),O50+1,"STOP")</f>
        <v>18</v>
      </c>
      <c r="P51" s="195">
        <f t="shared" si="3"/>
        <v>0</v>
      </c>
      <c r="Q51" s="264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08">
        <v>4</v>
      </c>
      <c r="B52" s="211" t="s">
        <v>132</v>
      </c>
      <c r="C52" s="210" t="s">
        <v>132</v>
      </c>
      <c r="D52" s="209" t="s">
        <v>132</v>
      </c>
      <c r="E52" s="204"/>
      <c r="F52" s="260"/>
      <c r="G52" s="219"/>
      <c r="H52" s="201"/>
      <c r="I52" s="202"/>
      <c r="J52" s="25"/>
      <c r="K52" s="181"/>
      <c r="L52" s="5"/>
      <c r="M52" s="5"/>
      <c r="N52" s="5"/>
      <c r="O52" s="205">
        <f>IF(O51+1&lt;=MIN('Données projet'!$E$9:$E$18),O51+1,"STOP")</f>
        <v>19</v>
      </c>
      <c r="P52" s="195">
        <f t="shared" si="3"/>
        <v>0</v>
      </c>
      <c r="Q52" s="264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08">
        <v>5</v>
      </c>
      <c r="B53" s="211" t="s">
        <v>132</v>
      </c>
      <c r="C53" s="210" t="s">
        <v>132</v>
      </c>
      <c r="D53" s="209" t="s">
        <v>132</v>
      </c>
      <c r="E53" s="204"/>
      <c r="F53" s="260"/>
      <c r="G53" s="220"/>
      <c r="H53" s="201"/>
      <c r="I53" s="202"/>
      <c r="J53" s="25"/>
      <c r="K53" s="181"/>
      <c r="L53" s="5"/>
      <c r="M53" s="5"/>
      <c r="N53" s="5"/>
      <c r="O53" s="205">
        <f>IF(O52+1&lt;=MIN('Données projet'!$E$9:$E$18),O52+1,"STOP")</f>
        <v>20</v>
      </c>
      <c r="P53" s="195">
        <f t="shared" si="3"/>
        <v>0</v>
      </c>
      <c r="Q53" s="264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0">
        <f>'Données projet'!A62</f>
        <v>15</v>
      </c>
      <c r="B54" s="191">
        <f>'Données projet'!D62</f>
        <v>0</v>
      </c>
      <c r="C54" s="202"/>
      <c r="D54" s="189">
        <f>B54*C54</f>
        <v>0</v>
      </c>
      <c r="E54" s="204"/>
      <c r="F54" s="261"/>
      <c r="G54" s="220"/>
      <c r="H54" s="201"/>
      <c r="I54" s="202"/>
      <c r="J54" s="25"/>
      <c r="K54" s="181"/>
      <c r="L54" s="5"/>
      <c r="M54" s="5"/>
      <c r="N54" s="5"/>
      <c r="O54" s="205">
        <f>IF(O53+1&lt;=MIN('Données projet'!$E$9:$E$18),O53+1,"STOP")</f>
        <v>21</v>
      </c>
      <c r="P54" s="195">
        <f t="shared" si="3"/>
        <v>0</v>
      </c>
      <c r="Q54" s="264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0">
        <f>'Données projet'!A63</f>
        <v>20</v>
      </c>
      <c r="B55" s="191">
        <f>'Données projet'!D63</f>
        <v>0</v>
      </c>
      <c r="C55" s="202"/>
      <c r="D55" s="189">
        <f t="shared" ref="D55:D73" si="4">B55*C55</f>
        <v>0</v>
      </c>
      <c r="E55" s="204"/>
      <c r="F55" s="261"/>
      <c r="G55" s="220"/>
      <c r="H55" s="201"/>
      <c r="I55" s="202"/>
      <c r="J55" s="25"/>
      <c r="K55" s="181"/>
      <c r="L55" s="5"/>
      <c r="M55" s="5"/>
      <c r="N55" s="5"/>
      <c r="O55" s="205">
        <f>IF(O54+1&lt;=MIN('Données projet'!$E$9:$E$18),O54+1,"STOP")</f>
        <v>22</v>
      </c>
      <c r="P55" s="195">
        <f t="shared" si="3"/>
        <v>0</v>
      </c>
      <c r="Q55" s="264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0">
        <f>'Données projet'!A64</f>
        <v>25</v>
      </c>
      <c r="B56" s="191">
        <f>'Données projet'!D64</f>
        <v>0</v>
      </c>
      <c r="C56" s="202"/>
      <c r="D56" s="189">
        <f t="shared" si="4"/>
        <v>0</v>
      </c>
      <c r="E56" s="204"/>
      <c r="F56" s="261"/>
      <c r="G56" s="220"/>
      <c r="H56" s="201"/>
      <c r="I56" s="202"/>
      <c r="J56" s="25"/>
      <c r="K56" s="181"/>
      <c r="L56" s="5"/>
      <c r="M56" s="5"/>
      <c r="N56" s="5"/>
      <c r="O56" s="205">
        <f>IF(O55+1&lt;=MIN('Données projet'!$E$9:$E$18),O55+1,"STOP")</f>
        <v>23</v>
      </c>
      <c r="P56" s="195">
        <f t="shared" si="3"/>
        <v>0</v>
      </c>
      <c r="Q56" s="264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0">
        <f>'Données projet'!A65</f>
        <v>30</v>
      </c>
      <c r="B57" s="191">
        <f>'Données projet'!D65</f>
        <v>0</v>
      </c>
      <c r="C57" s="202"/>
      <c r="D57" s="189">
        <f t="shared" si="4"/>
        <v>0</v>
      </c>
      <c r="E57" s="204"/>
      <c r="F57" s="261"/>
      <c r="G57" s="220"/>
      <c r="H57" s="201"/>
      <c r="I57" s="202"/>
      <c r="J57" s="25"/>
      <c r="K57" s="181"/>
      <c r="L57" s="5"/>
      <c r="M57" s="5"/>
      <c r="N57" s="5"/>
      <c r="O57" s="205">
        <f>IF(O56+1&lt;=MIN('Données projet'!$E$9:$E$18),O56+1,"STOP")</f>
        <v>24</v>
      </c>
      <c r="P57" s="195">
        <f t="shared" si="3"/>
        <v>0</v>
      </c>
      <c r="Q57" s="264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0">
        <f>'Données projet'!A66</f>
        <v>35</v>
      </c>
      <c r="B58" s="191">
        <f>'Données projet'!D66</f>
        <v>0</v>
      </c>
      <c r="C58" s="202"/>
      <c r="D58" s="189">
        <f t="shared" si="4"/>
        <v>0</v>
      </c>
      <c r="E58" s="204"/>
      <c r="F58" s="261"/>
      <c r="G58" s="220"/>
      <c r="H58" s="201"/>
      <c r="I58" s="202"/>
      <c r="J58" s="25"/>
      <c r="K58" s="181"/>
      <c r="L58" s="5"/>
      <c r="M58" s="5"/>
      <c r="N58" s="5"/>
      <c r="O58" s="205">
        <f>IF(O57+1&lt;=MIN('Données projet'!$E$9:$E$18),O57+1,"STOP")</f>
        <v>25</v>
      </c>
      <c r="P58" s="195">
        <f t="shared" si="3"/>
        <v>0</v>
      </c>
      <c r="Q58" s="264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0">
        <f>'Données projet'!A67</f>
        <v>40</v>
      </c>
      <c r="B59" s="191">
        <f>'Données projet'!D67</f>
        <v>0</v>
      </c>
      <c r="C59" s="202"/>
      <c r="D59" s="189">
        <f t="shared" si="4"/>
        <v>0</v>
      </c>
      <c r="E59" s="204"/>
      <c r="F59" s="261"/>
      <c r="G59" s="220"/>
      <c r="H59" s="201"/>
      <c r="I59" s="202"/>
      <c r="J59" s="25"/>
      <c r="K59" s="181"/>
      <c r="L59" s="5"/>
      <c r="M59" s="5"/>
      <c r="N59" s="5"/>
      <c r="O59" s="205">
        <f>IF(O58+1&lt;=MIN('Données projet'!$E$9:$E$18),O58+1,"STOP")</f>
        <v>26</v>
      </c>
      <c r="P59" s="195">
        <f t="shared" si="3"/>
        <v>0</v>
      </c>
      <c r="Q59" s="264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0">
        <f>'Données projet'!A68</f>
        <v>45</v>
      </c>
      <c r="B60" s="191">
        <f>'Données projet'!D68</f>
        <v>0</v>
      </c>
      <c r="C60" s="202"/>
      <c r="D60" s="189">
        <f t="shared" si="4"/>
        <v>0</v>
      </c>
      <c r="E60" s="204"/>
      <c r="F60" s="261"/>
      <c r="G60" s="221"/>
      <c r="H60" s="201"/>
      <c r="I60" s="202"/>
      <c r="J60" s="25"/>
      <c r="K60" s="181"/>
      <c r="L60" s="5"/>
      <c r="M60" s="5"/>
      <c r="N60" s="5"/>
      <c r="O60" s="205">
        <f>IF(O59+1&lt;=MIN('Données projet'!$E$9:$E$18),O59+1,"STOP")</f>
        <v>27</v>
      </c>
      <c r="P60" s="195">
        <f t="shared" si="3"/>
        <v>0</v>
      </c>
      <c r="Q60" s="264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0">
        <f>'Données projet'!A69</f>
        <v>50</v>
      </c>
      <c r="B61" s="191">
        <f>'Données projet'!D69</f>
        <v>0</v>
      </c>
      <c r="C61" s="202"/>
      <c r="D61" s="189">
        <f t="shared" si="4"/>
        <v>0</v>
      </c>
      <c r="E61" s="204"/>
      <c r="F61" s="261"/>
      <c r="G61" s="221"/>
      <c r="H61" s="201"/>
      <c r="I61" s="202"/>
      <c r="J61" s="25"/>
      <c r="K61" s="181"/>
      <c r="L61" s="5"/>
      <c r="M61" s="5"/>
      <c r="N61" s="5"/>
      <c r="O61" s="205">
        <f>IF(O60+1&lt;=MIN('Données projet'!$E$9:$E$18),O60+1,"STOP")</f>
        <v>28</v>
      </c>
      <c r="P61" s="195">
        <f t="shared" si="3"/>
        <v>0</v>
      </c>
      <c r="Q61" s="264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0">
        <f>'Données projet'!A70</f>
        <v>55</v>
      </c>
      <c r="B62" s="191">
        <f>'Données projet'!D70</f>
        <v>0</v>
      </c>
      <c r="C62" s="202"/>
      <c r="D62" s="189">
        <f t="shared" si="4"/>
        <v>0</v>
      </c>
      <c r="E62" s="204"/>
      <c r="F62" s="261"/>
      <c r="G62" s="221"/>
      <c r="H62" s="201"/>
      <c r="I62" s="202"/>
      <c r="J62" s="25"/>
      <c r="K62" s="181"/>
      <c r="L62" s="5"/>
      <c r="M62" s="5"/>
      <c r="N62" s="5"/>
      <c r="O62" s="205">
        <f>IF(O61+1&lt;=MIN('Données projet'!$E$9:$E$18),O61+1,"STOP")</f>
        <v>29</v>
      </c>
      <c r="P62" s="195">
        <f t="shared" si="3"/>
        <v>0</v>
      </c>
      <c r="Q62" s="264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0">
        <f>'Données projet'!A71</f>
        <v>60</v>
      </c>
      <c r="B63" s="191">
        <f>'Données projet'!D71</f>
        <v>0</v>
      </c>
      <c r="C63" s="202"/>
      <c r="D63" s="189">
        <f t="shared" si="4"/>
        <v>0</v>
      </c>
      <c r="E63" s="204"/>
      <c r="F63" s="261"/>
      <c r="G63" s="221"/>
      <c r="H63" s="201"/>
      <c r="I63" s="202"/>
      <c r="J63" s="25"/>
      <c r="K63" s="181"/>
      <c r="L63" s="5"/>
      <c r="M63" s="5"/>
      <c r="N63" s="5"/>
      <c r="O63" s="205">
        <f>IF(O62+1&lt;=MIN('Données projet'!$E$9:$E$18),O62+1,"STOP")</f>
        <v>30</v>
      </c>
      <c r="P63" s="195">
        <f t="shared" si="3"/>
        <v>0</v>
      </c>
      <c r="Q63" s="264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0">
        <f>'Données projet'!A72</f>
        <v>65</v>
      </c>
      <c r="B64" s="191">
        <f>'Données projet'!D72</f>
        <v>0</v>
      </c>
      <c r="C64" s="202"/>
      <c r="D64" s="189">
        <f t="shared" si="4"/>
        <v>0</v>
      </c>
      <c r="E64" s="204"/>
      <c r="F64" s="261"/>
      <c r="G64" s="221"/>
      <c r="H64" s="201"/>
      <c r="I64" s="202"/>
      <c r="J64" s="222"/>
      <c r="K64" s="181"/>
      <c r="L64" s="5"/>
      <c r="M64" s="5"/>
      <c r="N64" s="5"/>
      <c r="O64" s="205">
        <f>IF(O63+1&lt;=MIN('Données projet'!$E$9:$E$18),O63+1,"STOP")</f>
        <v>31</v>
      </c>
      <c r="P64" s="195">
        <f t="shared" si="3"/>
        <v>0</v>
      </c>
      <c r="Q64" s="264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0">
        <f>'Données projet'!A73</f>
        <v>70</v>
      </c>
      <c r="B65" s="191">
        <f>'Données projet'!D73</f>
        <v>0</v>
      </c>
      <c r="C65" s="202"/>
      <c r="D65" s="189">
        <f t="shared" si="4"/>
        <v>0</v>
      </c>
      <c r="E65" s="204"/>
      <c r="F65" s="261"/>
      <c r="G65" s="221"/>
      <c r="H65" s="201"/>
      <c r="I65" s="202"/>
      <c r="J65" s="199"/>
      <c r="K65" s="181"/>
      <c r="L65" s="5"/>
      <c r="M65" s="5"/>
      <c r="N65" s="5"/>
      <c r="O65" s="205">
        <f>IF(O64+1&lt;=MIN('Données projet'!$E$9:$E$18),O64+1,"STOP")</f>
        <v>32</v>
      </c>
      <c r="P65" s="195">
        <f t="shared" ref="P65:P96" si="5">$P$25/(1+$M$4)^O65</f>
        <v>0</v>
      </c>
      <c r="Q65" s="264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0">
        <f>'Données projet'!A74</f>
        <v>75</v>
      </c>
      <c r="B66" s="191">
        <f>'Données projet'!D74</f>
        <v>0</v>
      </c>
      <c r="C66" s="202"/>
      <c r="D66" s="189">
        <f t="shared" si="4"/>
        <v>0</v>
      </c>
      <c r="E66" s="204"/>
      <c r="F66" s="261"/>
      <c r="G66" s="221"/>
      <c r="H66" s="201"/>
      <c r="I66" s="202"/>
      <c r="J66" s="199"/>
      <c r="K66" s="181"/>
      <c r="L66" s="5"/>
      <c r="M66" s="5"/>
      <c r="N66" s="5"/>
      <c r="O66" s="205">
        <f>IF(O65+1&lt;=MIN('Données projet'!$E$9:$E$18),O65+1,"STOP")</f>
        <v>33</v>
      </c>
      <c r="P66" s="195">
        <f t="shared" si="5"/>
        <v>0</v>
      </c>
      <c r="Q66" s="264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0">
        <f>'Données projet'!A75</f>
        <v>80</v>
      </c>
      <c r="B67" s="191">
        <f>'Données projet'!D75</f>
        <v>0</v>
      </c>
      <c r="C67" s="202"/>
      <c r="D67" s="189">
        <f t="shared" si="4"/>
        <v>0</v>
      </c>
      <c r="E67" s="204"/>
      <c r="F67" s="261"/>
      <c r="G67" s="221"/>
      <c r="H67" s="201"/>
      <c r="I67" s="202"/>
      <c r="J67" s="199"/>
      <c r="K67" s="181"/>
      <c r="L67" s="5"/>
      <c r="M67" s="5"/>
      <c r="N67" s="5"/>
      <c r="O67" s="205">
        <f>IF(O66+1&lt;=MIN('Données projet'!$E$9:$E$18),O66+1,"STOP")</f>
        <v>34</v>
      </c>
      <c r="P67" s="195">
        <f t="shared" si="5"/>
        <v>0</v>
      </c>
      <c r="Q67" s="264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0">
        <f>'Données projet'!A76</f>
        <v>85</v>
      </c>
      <c r="B68" s="191">
        <f>'Données projet'!D76</f>
        <v>0</v>
      </c>
      <c r="C68" s="202"/>
      <c r="D68" s="189">
        <f t="shared" si="4"/>
        <v>0</v>
      </c>
      <c r="E68" s="204"/>
      <c r="F68" s="261"/>
      <c r="G68" s="221"/>
      <c r="H68" s="201"/>
      <c r="I68" s="202"/>
      <c r="J68" s="199"/>
      <c r="K68" s="181"/>
      <c r="L68" s="5"/>
      <c r="M68" s="5"/>
      <c r="N68" s="5"/>
      <c r="O68" s="205">
        <f>IF(O67+1&lt;=MIN('Données projet'!$E$9:$E$18),O67+1,"STOP")</f>
        <v>35</v>
      </c>
      <c r="P68" s="195">
        <f t="shared" si="5"/>
        <v>0</v>
      </c>
      <c r="Q68" s="264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0">
        <f>'Données projet'!A77</f>
        <v>90</v>
      </c>
      <c r="B69" s="191">
        <f>'Données projet'!D77</f>
        <v>0</v>
      </c>
      <c r="C69" s="202"/>
      <c r="D69" s="189">
        <f t="shared" si="4"/>
        <v>0</v>
      </c>
      <c r="E69" s="204"/>
      <c r="F69" s="261"/>
      <c r="G69" s="221"/>
      <c r="H69" s="201"/>
      <c r="I69" s="202"/>
      <c r="J69" s="199"/>
      <c r="K69" s="181"/>
      <c r="L69" s="5"/>
      <c r="M69" s="5"/>
      <c r="N69" s="5"/>
      <c r="O69" s="205">
        <f>IF(O68+1&lt;=MIN('Données projet'!$E$9:$E$18),O68+1,"STOP")</f>
        <v>36</v>
      </c>
      <c r="P69" s="195">
        <f t="shared" si="5"/>
        <v>0</v>
      </c>
      <c r="Q69" s="264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0">
        <f>'Données projet'!A78</f>
        <v>95</v>
      </c>
      <c r="B70" s="191">
        <f>'Données projet'!D78</f>
        <v>0</v>
      </c>
      <c r="C70" s="202"/>
      <c r="D70" s="189">
        <f t="shared" si="4"/>
        <v>0</v>
      </c>
      <c r="E70" s="204"/>
      <c r="F70" s="261"/>
      <c r="G70" s="221"/>
      <c r="H70" s="201"/>
      <c r="I70" s="202"/>
      <c r="J70" s="199"/>
      <c r="K70" s="181"/>
      <c r="L70" s="5"/>
      <c r="M70" s="5"/>
      <c r="N70" s="5"/>
      <c r="O70" s="205">
        <f>IF(O69+1&lt;=MIN('Données projet'!$E$9:$E$18),O69+1,"STOP")</f>
        <v>37</v>
      </c>
      <c r="P70" s="195">
        <f t="shared" si="5"/>
        <v>0</v>
      </c>
      <c r="Q70" s="264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0">
        <f>'Données projet'!A79</f>
        <v>100</v>
      </c>
      <c r="B71" s="191">
        <f>'Données projet'!D79</f>
        <v>316.5</v>
      </c>
      <c r="C71" s="202">
        <v>40</v>
      </c>
      <c r="D71" s="189">
        <f t="shared" si="4"/>
        <v>12660</v>
      </c>
      <c r="E71" s="204"/>
      <c r="F71" s="261"/>
      <c r="G71" s="221"/>
      <c r="H71" s="201"/>
      <c r="I71" s="202"/>
      <c r="J71" s="199"/>
      <c r="K71" s="181"/>
      <c r="L71" s="5"/>
      <c r="M71" s="5"/>
      <c r="N71" s="5"/>
      <c r="O71" s="205">
        <f>IF(O70+1&lt;=MIN('Données projet'!$E$9:$E$18),O70+1,"STOP")</f>
        <v>38</v>
      </c>
      <c r="P71" s="195">
        <f t="shared" si="5"/>
        <v>0</v>
      </c>
      <c r="Q71" s="264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0">
        <f>'Données projet'!A80</f>
        <v>0</v>
      </c>
      <c r="B72" s="191">
        <f>'Données projet'!D80</f>
        <v>0</v>
      </c>
      <c r="C72" s="202"/>
      <c r="D72" s="189">
        <f t="shared" si="4"/>
        <v>0</v>
      </c>
      <c r="E72" s="204"/>
      <c r="F72" s="261"/>
      <c r="G72" s="221"/>
      <c r="H72" s="201"/>
      <c r="I72" s="202"/>
      <c r="J72" s="5"/>
      <c r="K72" s="181"/>
      <c r="L72" s="5"/>
      <c r="M72" s="5"/>
      <c r="N72" s="5"/>
      <c r="O72" s="205">
        <f>IF(O71+1&lt;=MIN('Données projet'!$E$9:$E$18),O71+1,"STOP")</f>
        <v>39</v>
      </c>
      <c r="P72" s="195">
        <f t="shared" si="5"/>
        <v>0</v>
      </c>
      <c r="Q72" s="264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0">
        <f>'Données projet'!A81</f>
        <v>0</v>
      </c>
      <c r="B73" s="191">
        <f>'Données projet'!D81</f>
        <v>0</v>
      </c>
      <c r="C73" s="202"/>
      <c r="D73" s="189">
        <f t="shared" si="4"/>
        <v>0</v>
      </c>
      <c r="E73" s="204"/>
      <c r="F73" s="261"/>
      <c r="G73" s="221"/>
      <c r="H73" s="201"/>
      <c r="I73" s="202"/>
      <c r="J73" s="5"/>
      <c r="K73" s="181"/>
      <c r="L73" s="5"/>
      <c r="M73" s="5"/>
      <c r="N73" s="5"/>
      <c r="O73" s="205">
        <f>IF(O72+1&lt;=MIN('Données projet'!$E$9:$E$18),O72+1,"STOP")</f>
        <v>40</v>
      </c>
      <c r="P73" s="195">
        <f t="shared" si="5"/>
        <v>0</v>
      </c>
      <c r="Q73" s="264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59"/>
      <c r="G74" s="221"/>
      <c r="H74" s="201"/>
      <c r="I74" s="202"/>
      <c r="J74" s="5"/>
      <c r="K74" s="181"/>
      <c r="L74" s="5"/>
      <c r="M74" s="5"/>
      <c r="N74" s="5"/>
      <c r="O74" s="205">
        <f>IF(O73+1&lt;=MIN('Données projet'!$E$9:$E$18),O73+1,"STOP")</f>
        <v>41</v>
      </c>
      <c r="P74" s="195">
        <f t="shared" si="5"/>
        <v>0</v>
      </c>
      <c r="Q74" s="264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59"/>
      <c r="G75" s="221"/>
      <c r="H75" s="201"/>
      <c r="I75" s="202"/>
      <c r="J75" s="5"/>
      <c r="K75" s="181"/>
      <c r="L75" s="5"/>
      <c r="M75" s="5"/>
      <c r="N75" s="5"/>
      <c r="O75" s="205">
        <f>IF(O74+1&lt;=MIN('Données projet'!$E$9:$E$18),O74+1,"STOP")</f>
        <v>42</v>
      </c>
      <c r="P75" s="195">
        <f t="shared" si="5"/>
        <v>0</v>
      </c>
      <c r="Q75" s="264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4" t="str">
        <f>IF('Données projet'!B11="","",'Données projet'!B11)</f>
        <v>Pin pignon</v>
      </c>
      <c r="C76" s="5"/>
      <c r="D76" s="5"/>
      <c r="E76" s="5"/>
      <c r="F76" s="259"/>
      <c r="G76" s="221"/>
      <c r="H76" s="201"/>
      <c r="I76" s="202"/>
      <c r="J76" s="5"/>
      <c r="K76" s="181"/>
      <c r="L76" s="5"/>
      <c r="M76" s="5"/>
      <c r="N76" s="5"/>
      <c r="O76" s="205">
        <f>IF(O75+1&lt;=MIN('Données projet'!$E$9:$E$18),O75+1,"STOP")</f>
        <v>43</v>
      </c>
      <c r="P76" s="195">
        <f t="shared" si="5"/>
        <v>0</v>
      </c>
      <c r="Q76" s="264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59"/>
      <c r="G77" s="221"/>
      <c r="H77" s="201"/>
      <c r="I77" s="202"/>
      <c r="J77" s="5"/>
      <c r="K77" s="181"/>
      <c r="L77" s="5"/>
      <c r="M77" s="5"/>
      <c r="N77" s="5"/>
      <c r="O77" s="205">
        <f>IF(O76+1&lt;=MIN('Données projet'!$E$9:$E$18),O76+1,"STOP")</f>
        <v>44</v>
      </c>
      <c r="P77" s="195">
        <f t="shared" si="5"/>
        <v>0</v>
      </c>
      <c r="Q77" s="264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5" t="s">
        <v>180</v>
      </c>
      <c r="B78" s="51" t="s">
        <v>256</v>
      </c>
      <c r="C78" s="51" t="s">
        <v>255</v>
      </c>
      <c r="D78" s="255" t="s">
        <v>252</v>
      </c>
      <c r="E78" s="255" t="s">
        <v>320</v>
      </c>
      <c r="F78" s="260"/>
      <c r="G78" s="221"/>
      <c r="H78" s="201"/>
      <c r="I78" s="202"/>
      <c r="J78" s="5"/>
      <c r="K78" s="181"/>
      <c r="L78" s="5"/>
      <c r="M78" s="5"/>
      <c r="N78" s="5"/>
      <c r="O78" s="205">
        <f>IF(O77+1&lt;=MIN('Données projet'!$E$9:$E$18),O77+1,"STOP")</f>
        <v>45</v>
      </c>
      <c r="P78" s="195">
        <f t="shared" si="5"/>
        <v>0</v>
      </c>
      <c r="Q78" s="264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08">
        <v>0</v>
      </c>
      <c r="B79" s="211" t="s">
        <v>132</v>
      </c>
      <c r="C79" s="210" t="s">
        <v>132</v>
      </c>
      <c r="D79" s="209" t="s">
        <v>132</v>
      </c>
      <c r="E79" s="204"/>
      <c r="F79" s="260"/>
      <c r="G79" s="221"/>
      <c r="H79" s="201"/>
      <c r="I79" s="202"/>
      <c r="J79" s="5"/>
      <c r="K79" s="181"/>
      <c r="L79" s="5"/>
      <c r="M79" s="5"/>
      <c r="N79" s="5"/>
      <c r="O79" s="205">
        <f>IF(O78+1&lt;=MIN('Données projet'!$E$9:$E$18),O78+1,"STOP")</f>
        <v>46</v>
      </c>
      <c r="P79" s="195">
        <f t="shared" si="5"/>
        <v>0</v>
      </c>
      <c r="Q79" s="264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08">
        <v>1</v>
      </c>
      <c r="B80" s="211" t="s">
        <v>132</v>
      </c>
      <c r="C80" s="210" t="s">
        <v>132</v>
      </c>
      <c r="D80" s="209" t="s">
        <v>132</v>
      </c>
      <c r="E80" s="204"/>
      <c r="F80" s="260"/>
      <c r="G80" s="219"/>
      <c r="H80" s="201"/>
      <c r="I80" s="202"/>
      <c r="J80" s="5"/>
      <c r="K80" s="181"/>
      <c r="L80" s="5"/>
      <c r="M80" s="5"/>
      <c r="N80" s="5"/>
      <c r="O80" s="205">
        <f>IF(O79+1&lt;=MIN('Données projet'!$E$9:$E$18),O79+1,"STOP")</f>
        <v>47</v>
      </c>
      <c r="P80" s="195">
        <f t="shared" si="5"/>
        <v>0</v>
      </c>
      <c r="Q80" s="264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08">
        <v>2</v>
      </c>
      <c r="B81" s="211" t="s">
        <v>132</v>
      </c>
      <c r="C81" s="210" t="s">
        <v>132</v>
      </c>
      <c r="D81" s="209" t="s">
        <v>132</v>
      </c>
      <c r="E81" s="204"/>
      <c r="F81" s="260"/>
      <c r="G81" s="219"/>
      <c r="H81" s="201"/>
      <c r="I81" s="202"/>
      <c r="J81" s="5"/>
      <c r="K81" s="181"/>
      <c r="L81" s="5"/>
      <c r="M81" s="5"/>
      <c r="N81" s="5"/>
      <c r="O81" s="205">
        <f>IF(O80+1&lt;=MIN('Données projet'!$E$9:$E$18),O80+1,"STOP")</f>
        <v>48</v>
      </c>
      <c r="P81" s="195">
        <f t="shared" si="5"/>
        <v>0</v>
      </c>
      <c r="Q81" s="264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08">
        <v>3</v>
      </c>
      <c r="B82" s="211" t="s">
        <v>132</v>
      </c>
      <c r="C82" s="210" t="s">
        <v>132</v>
      </c>
      <c r="D82" s="209" t="s">
        <v>132</v>
      </c>
      <c r="E82" s="204"/>
      <c r="F82" s="260"/>
      <c r="G82" s="219"/>
      <c r="H82" s="201"/>
      <c r="I82" s="202"/>
      <c r="J82" s="5"/>
      <c r="K82" s="181"/>
      <c r="L82" s="5"/>
      <c r="M82" s="5"/>
      <c r="N82" s="5"/>
      <c r="O82" s="205">
        <f>IF(O81+1&lt;=MIN('Données projet'!$E$9:$E$18),O81+1,"STOP")</f>
        <v>49</v>
      </c>
      <c r="P82" s="195">
        <f t="shared" si="5"/>
        <v>0</v>
      </c>
      <c r="Q82" s="264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08">
        <v>4</v>
      </c>
      <c r="B83" s="211" t="s">
        <v>132</v>
      </c>
      <c r="C83" s="210" t="s">
        <v>132</v>
      </c>
      <c r="D83" s="209" t="s">
        <v>132</v>
      </c>
      <c r="E83" s="204"/>
      <c r="F83" s="260"/>
      <c r="G83" s="219"/>
      <c r="H83" s="201"/>
      <c r="I83" s="202"/>
      <c r="J83" s="5"/>
      <c r="K83" s="181"/>
      <c r="L83" s="5"/>
      <c r="M83" s="5"/>
      <c r="N83" s="5"/>
      <c r="O83" s="205">
        <f>IF(O82+1&lt;=MIN('Données projet'!$E$9:$E$18),O82+1,"STOP")</f>
        <v>50</v>
      </c>
      <c r="P83" s="195">
        <f t="shared" si="5"/>
        <v>0</v>
      </c>
      <c r="Q83" s="264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08">
        <v>5</v>
      </c>
      <c r="B84" s="211" t="s">
        <v>132</v>
      </c>
      <c r="C84" s="210" t="s">
        <v>132</v>
      </c>
      <c r="D84" s="209" t="s">
        <v>132</v>
      </c>
      <c r="E84" s="204"/>
      <c r="F84" s="260"/>
      <c r="G84" s="220"/>
      <c r="H84" s="201"/>
      <c r="I84" s="202"/>
      <c r="J84" s="5"/>
      <c r="K84" s="181"/>
      <c r="L84" s="5"/>
      <c r="M84" s="5"/>
      <c r="N84" s="5"/>
      <c r="O84" s="205">
        <f>IF(O83+1&lt;=MIN('Données projet'!$E$9:$E$18),O83+1,"STOP")</f>
        <v>51</v>
      </c>
      <c r="P84" s="195">
        <f t="shared" si="5"/>
        <v>0</v>
      </c>
      <c r="Q84" s="264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0">
        <f>'Données projet'!A88</f>
        <v>10</v>
      </c>
      <c r="B85" s="191">
        <f>'Données projet'!D88</f>
        <v>0</v>
      </c>
      <c r="C85" s="202"/>
      <c r="D85" s="189">
        <f>B85*C85</f>
        <v>0</v>
      </c>
      <c r="E85" s="204"/>
      <c r="F85" s="261"/>
      <c r="G85" s="220"/>
      <c r="H85" s="201"/>
      <c r="I85" s="202"/>
      <c r="J85" s="5"/>
      <c r="K85" s="181"/>
      <c r="L85" s="5"/>
      <c r="M85" s="5"/>
      <c r="N85" s="5"/>
      <c r="O85" s="205">
        <f>IF(O84+1&lt;=MIN('Données projet'!$E$9:$E$18),O84+1,"STOP")</f>
        <v>52</v>
      </c>
      <c r="P85" s="195">
        <f t="shared" si="5"/>
        <v>0</v>
      </c>
      <c r="Q85" s="264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0">
        <f>'Données projet'!A89</f>
        <v>20</v>
      </c>
      <c r="B86" s="191">
        <f>'Données projet'!D89</f>
        <v>0</v>
      </c>
      <c r="C86" s="202"/>
      <c r="D86" s="189">
        <f t="shared" ref="D86:D104" si="6">B86*C86</f>
        <v>0</v>
      </c>
      <c r="E86" s="204"/>
      <c r="F86" s="261"/>
      <c r="G86" s="220"/>
      <c r="H86" s="201"/>
      <c r="I86" s="202"/>
      <c r="J86" s="5"/>
      <c r="K86" s="181"/>
      <c r="L86" s="5"/>
      <c r="M86" s="5"/>
      <c r="N86" s="5"/>
      <c r="O86" s="205">
        <f>IF(O85+1&lt;=MIN('Données projet'!$E$9:$E$18),O85+1,"STOP")</f>
        <v>53</v>
      </c>
      <c r="P86" s="195">
        <f t="shared" si="5"/>
        <v>0</v>
      </c>
      <c r="Q86" s="264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0">
        <f>'Données projet'!A90</f>
        <v>30</v>
      </c>
      <c r="B87" s="191">
        <f>'Données projet'!D90</f>
        <v>11.375</v>
      </c>
      <c r="C87" s="202">
        <v>10</v>
      </c>
      <c r="D87" s="189">
        <f t="shared" si="6"/>
        <v>113.75</v>
      </c>
      <c r="E87" s="204"/>
      <c r="F87" s="261"/>
      <c r="G87" s="220"/>
      <c r="H87" s="201"/>
      <c r="I87" s="202"/>
      <c r="J87" s="5"/>
      <c r="K87" s="181"/>
      <c r="L87" s="5"/>
      <c r="M87" s="5"/>
      <c r="N87" s="5"/>
      <c r="O87" s="205">
        <f>IF(O86+1&lt;=MIN('Données projet'!$E$9:$E$18),O86+1,"STOP")</f>
        <v>54</v>
      </c>
      <c r="P87" s="195">
        <f t="shared" si="5"/>
        <v>0</v>
      </c>
      <c r="Q87" s="264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0">
        <f>'Données projet'!A91</f>
        <v>40</v>
      </c>
      <c r="B88" s="191">
        <f>'Données projet'!D91</f>
        <v>7.0000000000000009</v>
      </c>
      <c r="C88" s="202">
        <v>10</v>
      </c>
      <c r="D88" s="189">
        <f t="shared" si="6"/>
        <v>70.000000000000014</v>
      </c>
      <c r="E88" s="204"/>
      <c r="F88" s="261"/>
      <c r="G88" s="220"/>
      <c r="H88" s="201"/>
      <c r="I88" s="202"/>
      <c r="J88" s="5"/>
      <c r="K88" s="181"/>
      <c r="L88" s="5"/>
      <c r="M88" s="5"/>
      <c r="N88" s="5"/>
      <c r="O88" s="205">
        <f>IF(O87+1&lt;=MIN('Données projet'!$E$9:$E$18),O87+1,"STOP")</f>
        <v>55</v>
      </c>
      <c r="P88" s="195">
        <f t="shared" si="5"/>
        <v>0</v>
      </c>
      <c r="Q88" s="264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0">
        <f>'Données projet'!A92</f>
        <v>50</v>
      </c>
      <c r="B89" s="191">
        <f>'Données projet'!D92</f>
        <v>7.7500000000000009</v>
      </c>
      <c r="C89" s="202">
        <v>15</v>
      </c>
      <c r="D89" s="189">
        <f t="shared" si="6"/>
        <v>116.25000000000001</v>
      </c>
      <c r="E89" s="204"/>
      <c r="F89" s="261"/>
      <c r="G89" s="220"/>
      <c r="H89" s="201"/>
      <c r="I89" s="202"/>
      <c r="J89" s="5"/>
      <c r="K89" s="181"/>
      <c r="L89" s="5"/>
      <c r="M89" s="5"/>
      <c r="N89" s="5"/>
      <c r="O89" s="205">
        <f>IF(O88+1&lt;=MIN('Données projet'!$E$9:$E$18),O88+1,"STOP")</f>
        <v>56</v>
      </c>
      <c r="P89" s="195">
        <f t="shared" si="5"/>
        <v>0</v>
      </c>
      <c r="Q89" s="264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0">
        <f>'Données projet'!A93</f>
        <v>60</v>
      </c>
      <c r="B90" s="191">
        <f>'Données projet'!D93</f>
        <v>8.25</v>
      </c>
      <c r="C90" s="202">
        <v>15</v>
      </c>
      <c r="D90" s="189">
        <f t="shared" si="6"/>
        <v>123.75</v>
      </c>
      <c r="E90" s="204"/>
      <c r="F90" s="261"/>
      <c r="G90" s="220"/>
      <c r="H90" s="201"/>
      <c r="I90" s="202"/>
      <c r="J90" s="5"/>
      <c r="K90" s="181"/>
      <c r="L90" s="5"/>
      <c r="M90" s="5"/>
      <c r="N90" s="5"/>
      <c r="O90" s="205">
        <f>IF(O89+1&lt;=MIN('Données projet'!$E$9:$E$18),O89+1,"STOP")</f>
        <v>57</v>
      </c>
      <c r="P90" s="195">
        <f t="shared" si="5"/>
        <v>0</v>
      </c>
      <c r="Q90" s="264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0">
        <f>'Données projet'!A94</f>
        <v>70</v>
      </c>
      <c r="B91" s="191">
        <f>'Données projet'!D94</f>
        <v>8.5</v>
      </c>
      <c r="C91" s="202">
        <v>20</v>
      </c>
      <c r="D91" s="189">
        <f t="shared" si="6"/>
        <v>170</v>
      </c>
      <c r="E91" s="204"/>
      <c r="F91" s="261"/>
      <c r="G91" s="221"/>
      <c r="H91" s="201"/>
      <c r="I91" s="202"/>
      <c r="J91" s="5"/>
      <c r="K91" s="181"/>
      <c r="L91" s="5"/>
      <c r="M91" s="5"/>
      <c r="N91" s="5"/>
      <c r="O91" s="205">
        <f>IF(O90+1&lt;=MIN('Données projet'!$E$9:$E$18),O90+1,"STOP")</f>
        <v>58</v>
      </c>
      <c r="P91" s="195">
        <f t="shared" si="5"/>
        <v>0</v>
      </c>
      <c r="Q91" s="264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0">
        <f>'Données projet'!A95</f>
        <v>80</v>
      </c>
      <c r="B92" s="191">
        <f>'Données projet'!D95</f>
        <v>9.1666666666666679</v>
      </c>
      <c r="C92" s="202">
        <v>25</v>
      </c>
      <c r="D92" s="189">
        <f t="shared" si="6"/>
        <v>229.16666666666669</v>
      </c>
      <c r="E92" s="204"/>
      <c r="F92" s="261"/>
      <c r="G92" s="221"/>
      <c r="H92" s="201"/>
      <c r="I92" s="202"/>
      <c r="J92" s="5"/>
      <c r="K92" s="181"/>
      <c r="L92" s="5"/>
      <c r="M92" s="5"/>
      <c r="N92" s="5"/>
      <c r="O92" s="205">
        <f>IF(O91+1&lt;=MIN('Données projet'!$E$9:$E$18),O91+1,"STOP")</f>
        <v>59</v>
      </c>
      <c r="P92" s="195">
        <f t="shared" si="5"/>
        <v>0</v>
      </c>
      <c r="Q92" s="264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0">
        <f>'Données projet'!A96</f>
        <v>90</v>
      </c>
      <c r="B93" s="191">
        <f>'Données projet'!D96</f>
        <v>9.1666666666666679</v>
      </c>
      <c r="C93" s="202">
        <v>25</v>
      </c>
      <c r="D93" s="189">
        <f t="shared" si="6"/>
        <v>229.16666666666669</v>
      </c>
      <c r="E93" s="204"/>
      <c r="F93" s="261"/>
      <c r="G93" s="221"/>
      <c r="H93" s="201"/>
      <c r="I93" s="202"/>
      <c r="J93" s="5"/>
      <c r="K93" s="181"/>
      <c r="L93" s="5"/>
      <c r="M93" s="5"/>
      <c r="N93" s="5"/>
      <c r="O93" s="205">
        <f>IF(O92+1&lt;=MIN('Données projet'!$E$9:$E$18),O92+1,"STOP")</f>
        <v>60</v>
      </c>
      <c r="P93" s="195">
        <f t="shared" si="5"/>
        <v>0</v>
      </c>
      <c r="Q93" s="264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0">
        <f>'Données projet'!A97</f>
        <v>100</v>
      </c>
      <c r="B94" s="191">
        <f>'Données projet'!D97</f>
        <v>9.125</v>
      </c>
      <c r="C94" s="202">
        <v>30</v>
      </c>
      <c r="D94" s="189">
        <f t="shared" si="6"/>
        <v>273.75</v>
      </c>
      <c r="E94" s="204"/>
      <c r="F94" s="261"/>
      <c r="G94" s="221"/>
      <c r="H94" s="201"/>
      <c r="I94" s="202"/>
      <c r="J94" s="5"/>
      <c r="K94" s="181"/>
      <c r="L94" s="5"/>
      <c r="M94" s="5"/>
      <c r="N94" s="5"/>
      <c r="O94" s="205">
        <f>IF(O93+1&lt;=MIN('Données projet'!$E$9:$E$18),O93+1,"STOP")</f>
        <v>61</v>
      </c>
      <c r="P94" s="195">
        <f t="shared" si="5"/>
        <v>0</v>
      </c>
      <c r="Q94" s="264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0">
        <f>'Données projet'!A98</f>
        <v>110</v>
      </c>
      <c r="B95" s="191">
        <f>'Données projet'!D98</f>
        <v>9.0416666666666661</v>
      </c>
      <c r="C95" s="202">
        <v>35</v>
      </c>
      <c r="D95" s="189">
        <f t="shared" si="6"/>
        <v>316.45833333333331</v>
      </c>
      <c r="E95" s="204"/>
      <c r="F95" s="261"/>
      <c r="G95" s="221"/>
      <c r="H95" s="201"/>
      <c r="I95" s="202"/>
      <c r="J95" s="5"/>
      <c r="K95" s="181"/>
      <c r="L95" s="5"/>
      <c r="M95" s="5"/>
      <c r="N95" s="5"/>
      <c r="O95" s="205">
        <f>IF(O94+1&lt;=MIN('Données projet'!$E$9:$E$18),O94+1,"STOP")</f>
        <v>62</v>
      </c>
      <c r="P95" s="195">
        <f t="shared" si="5"/>
        <v>0</v>
      </c>
      <c r="Q95" s="264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0">
        <f>'Données projet'!A99</f>
        <v>120</v>
      </c>
      <c r="B96" s="191">
        <f>'Données projet'!D99</f>
        <v>8.875</v>
      </c>
      <c r="C96" s="202">
        <v>35</v>
      </c>
      <c r="D96" s="189">
        <f t="shared" si="6"/>
        <v>310.625</v>
      </c>
      <c r="E96" s="204"/>
      <c r="F96" s="261"/>
      <c r="G96" s="221"/>
      <c r="H96" s="201"/>
      <c r="I96" s="202"/>
      <c r="J96" s="5"/>
      <c r="K96" s="181"/>
      <c r="L96" s="5"/>
      <c r="M96" s="5"/>
      <c r="N96" s="5"/>
      <c r="O96" s="205">
        <f>IF(O95+1&lt;=MIN('Données projet'!$E$9:$E$18),O95+1,"STOP")</f>
        <v>63</v>
      </c>
      <c r="P96" s="195">
        <f t="shared" si="5"/>
        <v>0</v>
      </c>
      <c r="Q96" s="264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0">
        <f>'Données projet'!A100</f>
        <v>130</v>
      </c>
      <c r="B97" s="191">
        <f>'Données projet'!D100</f>
        <v>8.7083333333333339</v>
      </c>
      <c r="C97" s="202">
        <v>40</v>
      </c>
      <c r="D97" s="189">
        <f t="shared" si="6"/>
        <v>348.33333333333337</v>
      </c>
      <c r="E97" s="204"/>
      <c r="F97" s="261"/>
      <c r="G97" s="221"/>
      <c r="H97" s="201"/>
      <c r="I97" s="202"/>
      <c r="J97" s="5"/>
      <c r="K97" s="181"/>
      <c r="L97" s="5"/>
      <c r="M97" s="5"/>
      <c r="N97" s="5"/>
      <c r="O97" s="205">
        <f>IF(O96+1&lt;=MIN('Données projet'!$E$9:$E$18),O96+1,"STOP")</f>
        <v>64</v>
      </c>
      <c r="P97" s="195">
        <f t="shared" ref="P97:P128" si="7">$P$25/(1+$M$4)^O97</f>
        <v>0</v>
      </c>
      <c r="Q97" s="264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0">
        <f>'Données projet'!A101</f>
        <v>140</v>
      </c>
      <c r="B98" s="191">
        <f>'Données projet'!D101</f>
        <v>8.5416666666666679</v>
      </c>
      <c r="C98" s="202">
        <v>40</v>
      </c>
      <c r="D98" s="189">
        <f t="shared" si="6"/>
        <v>341.66666666666674</v>
      </c>
      <c r="E98" s="204"/>
      <c r="F98" s="261"/>
      <c r="G98" s="221"/>
      <c r="H98" s="201"/>
      <c r="I98" s="202"/>
      <c r="J98" s="5"/>
      <c r="K98" s="181"/>
      <c r="L98" s="5"/>
      <c r="M98" s="5"/>
      <c r="N98" s="5"/>
      <c r="O98" s="205">
        <f>IF(O97+1&lt;=MIN('Données projet'!$E$9:$E$18),O97+1,"STOP")</f>
        <v>65</v>
      </c>
      <c r="P98" s="195">
        <f t="shared" si="7"/>
        <v>0</v>
      </c>
      <c r="Q98" s="264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0">
        <f>'Données projet'!A102</f>
        <v>150</v>
      </c>
      <c r="B99" s="191">
        <f>'Données projet'!D102</f>
        <v>130.21250000000001</v>
      </c>
      <c r="C99" s="202">
        <v>50</v>
      </c>
      <c r="D99" s="189">
        <f t="shared" si="6"/>
        <v>6510.625</v>
      </c>
      <c r="E99" s="204"/>
      <c r="F99" s="261"/>
      <c r="G99" s="221"/>
      <c r="H99" s="201"/>
      <c r="I99" s="202"/>
      <c r="J99" s="5"/>
      <c r="K99" s="181"/>
      <c r="L99" s="5"/>
      <c r="M99" s="5"/>
      <c r="N99" s="5"/>
      <c r="O99" s="205">
        <f>IF(O98+1&lt;=MIN('Données projet'!$E$9:$E$18),O98+1,"STOP")</f>
        <v>66</v>
      </c>
      <c r="P99" s="195">
        <f t="shared" si="7"/>
        <v>0</v>
      </c>
      <c r="Q99" s="264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0">
        <f>'Données projet'!A103</f>
        <v>0</v>
      </c>
      <c r="B100" s="191">
        <f>'Données projet'!D103</f>
        <v>0</v>
      </c>
      <c r="C100" s="202"/>
      <c r="D100" s="189">
        <f t="shared" si="6"/>
        <v>0</v>
      </c>
      <c r="E100" s="204"/>
      <c r="F100" s="261"/>
      <c r="G100" s="221"/>
      <c r="H100" s="201"/>
      <c r="I100" s="202"/>
      <c r="J100" s="5"/>
      <c r="K100" s="181"/>
      <c r="L100" s="5"/>
      <c r="M100" s="5"/>
      <c r="N100" s="5"/>
      <c r="O100" s="205">
        <f>IF(O99+1&lt;=MIN('Données projet'!$E$9:$E$18),O99+1,"STOP")</f>
        <v>67</v>
      </c>
      <c r="P100" s="195">
        <f t="shared" si="7"/>
        <v>0</v>
      </c>
      <c r="Q100" s="264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0">
        <f>'Données projet'!A104</f>
        <v>0</v>
      </c>
      <c r="B101" s="191">
        <f>'Données projet'!D104</f>
        <v>0</v>
      </c>
      <c r="C101" s="202"/>
      <c r="D101" s="189">
        <f t="shared" si="6"/>
        <v>0</v>
      </c>
      <c r="E101" s="204"/>
      <c r="F101" s="261"/>
      <c r="G101" s="221"/>
      <c r="H101" s="201"/>
      <c r="I101" s="202"/>
      <c r="J101" s="5"/>
      <c r="K101" s="181"/>
      <c r="L101" s="5"/>
      <c r="M101" s="5"/>
      <c r="N101" s="5"/>
      <c r="O101" s="205">
        <f>IF(O100+1&lt;=MIN('Données projet'!$E$9:$E$18),O100+1,"STOP")</f>
        <v>68</v>
      </c>
      <c r="P101" s="195">
        <f t="shared" si="7"/>
        <v>0</v>
      </c>
      <c r="Q101" s="264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0">
        <f>'Données projet'!A105</f>
        <v>0</v>
      </c>
      <c r="B102" s="191">
        <f>'Données projet'!D105</f>
        <v>0</v>
      </c>
      <c r="C102" s="202"/>
      <c r="D102" s="189">
        <f t="shared" si="6"/>
        <v>0</v>
      </c>
      <c r="E102" s="204"/>
      <c r="F102" s="261"/>
      <c r="G102" s="221"/>
      <c r="H102" s="201"/>
      <c r="I102" s="202"/>
      <c r="J102" s="5"/>
      <c r="K102" s="181"/>
      <c r="L102" s="5"/>
      <c r="M102" s="5"/>
      <c r="N102" s="5"/>
      <c r="O102" s="205">
        <f>IF(O101+1&lt;=MIN('Données projet'!$E$9:$E$18),O101+1,"STOP")</f>
        <v>69</v>
      </c>
      <c r="P102" s="195">
        <f t="shared" si="7"/>
        <v>0</v>
      </c>
      <c r="Q102" s="264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0">
        <f>'Données projet'!A106</f>
        <v>0</v>
      </c>
      <c r="B103" s="191">
        <f>'Données projet'!D106</f>
        <v>0</v>
      </c>
      <c r="C103" s="202"/>
      <c r="D103" s="189">
        <f t="shared" si="6"/>
        <v>0</v>
      </c>
      <c r="E103" s="204"/>
      <c r="F103" s="261"/>
      <c r="G103" s="221"/>
      <c r="H103" s="201"/>
      <c r="I103" s="202"/>
      <c r="J103" s="5"/>
      <c r="K103" s="181"/>
      <c r="L103" s="5"/>
      <c r="M103" s="5"/>
      <c r="N103" s="5"/>
      <c r="O103" s="205">
        <f>IF(O102+1&lt;=MIN('Données projet'!$E$9:$E$18),O102+1,"STOP")</f>
        <v>70</v>
      </c>
      <c r="P103" s="195">
        <f t="shared" si="7"/>
        <v>0</v>
      </c>
      <c r="Q103" s="264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0">
        <f>'Données projet'!A107</f>
        <v>0</v>
      </c>
      <c r="B104" s="191">
        <f>'Données projet'!D107</f>
        <v>0</v>
      </c>
      <c r="C104" s="202"/>
      <c r="D104" s="189">
        <f t="shared" si="6"/>
        <v>0</v>
      </c>
      <c r="E104" s="204"/>
      <c r="F104" s="261"/>
      <c r="G104" s="221"/>
      <c r="H104" s="201"/>
      <c r="I104" s="202"/>
      <c r="J104" s="5"/>
      <c r="K104" s="181"/>
      <c r="L104" s="5"/>
      <c r="M104" s="5"/>
      <c r="N104" s="5"/>
      <c r="O104" s="205">
        <f>IF(O103+1&lt;=MIN('Données projet'!$E$9:$E$18),O103+1,"STOP")</f>
        <v>71</v>
      </c>
      <c r="P104" s="195">
        <f t="shared" si="7"/>
        <v>0</v>
      </c>
      <c r="Q104" s="264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59"/>
      <c r="G105" s="221"/>
      <c r="H105" s="201"/>
      <c r="I105" s="202"/>
      <c r="J105" s="5"/>
      <c r="K105" s="181"/>
      <c r="L105" s="5"/>
      <c r="M105" s="5"/>
      <c r="N105" s="5"/>
      <c r="O105" s="205">
        <f>IF(O104+1&lt;=MIN('Données projet'!$E$9:$E$18),O104+1,"STOP")</f>
        <v>72</v>
      </c>
      <c r="P105" s="195">
        <f t="shared" si="7"/>
        <v>0</v>
      </c>
      <c r="Q105" s="264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59"/>
      <c r="G106" s="221"/>
      <c r="H106" s="201"/>
      <c r="I106" s="202"/>
      <c r="J106" s="5"/>
      <c r="K106" s="181"/>
      <c r="L106" s="5"/>
      <c r="M106" s="5"/>
      <c r="N106" s="5"/>
      <c r="O106" s="205">
        <f>IF(O105+1&lt;=MIN('Données projet'!$E$9:$E$18),O105+1,"STOP")</f>
        <v>73</v>
      </c>
      <c r="P106" s="195">
        <f t="shared" si="7"/>
        <v>0</v>
      </c>
      <c r="Q106" s="264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4" t="str">
        <f>IF('Données projet'!B12="","",'Données projet'!B12)</f>
        <v>Cormier</v>
      </c>
      <c r="C107" s="5"/>
      <c r="D107" s="5"/>
      <c r="E107" s="5"/>
      <c r="F107" s="259"/>
      <c r="G107" s="221"/>
      <c r="H107" s="201"/>
      <c r="I107" s="202"/>
      <c r="J107" s="5"/>
      <c r="K107" s="181"/>
      <c r="L107" s="5"/>
      <c r="M107" s="5"/>
      <c r="N107" s="5"/>
      <c r="O107" s="205">
        <f>IF(O106+1&lt;=MIN('Données projet'!$E$9:$E$18),O106+1,"STOP")</f>
        <v>74</v>
      </c>
      <c r="P107" s="195">
        <f t="shared" si="7"/>
        <v>0</v>
      </c>
      <c r="Q107" s="264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59"/>
      <c r="G108" s="221"/>
      <c r="H108" s="201"/>
      <c r="I108" s="202"/>
      <c r="J108" s="5"/>
      <c r="K108" s="181"/>
      <c r="L108" s="5"/>
      <c r="M108" s="5"/>
      <c r="N108" s="5"/>
      <c r="O108" s="205">
        <f>IF(O107+1&lt;=MIN('Données projet'!$E$9:$E$18),O107+1,"STOP")</f>
        <v>75</v>
      </c>
      <c r="P108" s="195">
        <f t="shared" si="7"/>
        <v>0</v>
      </c>
      <c r="Q108" s="264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5" t="s">
        <v>180</v>
      </c>
      <c r="B109" s="51" t="s">
        <v>256</v>
      </c>
      <c r="C109" s="51" t="s">
        <v>255</v>
      </c>
      <c r="D109" s="255" t="s">
        <v>252</v>
      </c>
      <c r="E109" s="255" t="s">
        <v>320</v>
      </c>
      <c r="F109" s="260"/>
      <c r="G109" s="221"/>
      <c r="H109" s="201"/>
      <c r="I109" s="202"/>
      <c r="J109" s="5"/>
      <c r="K109" s="181"/>
      <c r="L109" s="5"/>
      <c r="M109" s="5"/>
      <c r="N109" s="5"/>
      <c r="O109" s="205">
        <f>IF(O108+1&lt;=MIN('Données projet'!$E$9:$E$18),O108+1,"STOP")</f>
        <v>76</v>
      </c>
      <c r="P109" s="195">
        <f t="shared" si="7"/>
        <v>0</v>
      </c>
      <c r="Q109" s="264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08">
        <v>0</v>
      </c>
      <c r="B110" s="211" t="s">
        <v>132</v>
      </c>
      <c r="C110" s="210" t="s">
        <v>132</v>
      </c>
      <c r="D110" s="209" t="s">
        <v>132</v>
      </c>
      <c r="E110" s="204"/>
      <c r="F110" s="260"/>
      <c r="G110" s="221"/>
      <c r="H110" s="201"/>
      <c r="I110" s="202"/>
      <c r="J110" s="5"/>
      <c r="K110" s="181"/>
      <c r="L110" s="5"/>
      <c r="M110" s="5"/>
      <c r="N110" s="5"/>
      <c r="O110" s="205">
        <f>IF(O109+1&lt;=MIN('Données projet'!$E$9:$E$18),O109+1,"STOP")</f>
        <v>77</v>
      </c>
      <c r="P110" s="195">
        <f t="shared" si="7"/>
        <v>0</v>
      </c>
      <c r="Q110" s="264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08">
        <v>1</v>
      </c>
      <c r="B111" s="211" t="s">
        <v>132</v>
      </c>
      <c r="C111" s="210" t="s">
        <v>132</v>
      </c>
      <c r="D111" s="209" t="s">
        <v>132</v>
      </c>
      <c r="E111" s="204"/>
      <c r="F111" s="260"/>
      <c r="G111" s="219"/>
      <c r="H111" s="201"/>
      <c r="I111" s="202"/>
      <c r="J111" s="5"/>
      <c r="K111" s="181"/>
      <c r="L111" s="5"/>
      <c r="M111" s="5"/>
      <c r="N111" s="5"/>
      <c r="O111" s="205">
        <f>IF(O110+1&lt;=MIN('Données projet'!$E$9:$E$18),O110+1,"STOP")</f>
        <v>78</v>
      </c>
      <c r="P111" s="195">
        <f t="shared" si="7"/>
        <v>0</v>
      </c>
      <c r="Q111" s="264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08">
        <v>2</v>
      </c>
      <c r="B112" s="211" t="s">
        <v>132</v>
      </c>
      <c r="C112" s="210" t="s">
        <v>132</v>
      </c>
      <c r="D112" s="209" t="s">
        <v>132</v>
      </c>
      <c r="E112" s="204"/>
      <c r="F112" s="260"/>
      <c r="G112" s="219"/>
      <c r="H112" s="201"/>
      <c r="I112" s="202"/>
      <c r="J112" s="5"/>
      <c r="K112" s="181"/>
      <c r="L112" s="5"/>
      <c r="M112" s="5"/>
      <c r="N112" s="5"/>
      <c r="O112" s="205">
        <f>IF(O111+1&lt;=MIN('Données projet'!$E$9:$E$18),O111+1,"STOP")</f>
        <v>79</v>
      </c>
      <c r="P112" s="195">
        <f t="shared" si="7"/>
        <v>0</v>
      </c>
      <c r="Q112" s="264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08">
        <v>3</v>
      </c>
      <c r="B113" s="211" t="s">
        <v>132</v>
      </c>
      <c r="C113" s="210" t="s">
        <v>132</v>
      </c>
      <c r="D113" s="209" t="s">
        <v>132</v>
      </c>
      <c r="E113" s="204"/>
      <c r="F113" s="260"/>
      <c r="G113" s="219"/>
      <c r="H113" s="201"/>
      <c r="I113" s="202"/>
      <c r="J113" s="5"/>
      <c r="K113" s="181"/>
      <c r="L113" s="5"/>
      <c r="M113" s="5"/>
      <c r="N113" s="5"/>
      <c r="O113" s="205">
        <f>IF(O112+1&lt;=MIN('Données projet'!$E$9:$E$18),O112+1,"STOP")</f>
        <v>80</v>
      </c>
      <c r="P113" s="195">
        <f t="shared" si="7"/>
        <v>0</v>
      </c>
      <c r="Q113" s="264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08">
        <v>4</v>
      </c>
      <c r="B114" s="211" t="s">
        <v>132</v>
      </c>
      <c r="C114" s="210" t="s">
        <v>132</v>
      </c>
      <c r="D114" s="209" t="s">
        <v>132</v>
      </c>
      <c r="E114" s="204"/>
      <c r="F114" s="260"/>
      <c r="G114" s="219"/>
      <c r="H114" s="201"/>
      <c r="I114" s="202"/>
      <c r="J114" s="5"/>
      <c r="K114" s="181"/>
      <c r="L114" s="5"/>
      <c r="M114" s="5"/>
      <c r="N114" s="5"/>
      <c r="O114" s="205" t="str">
        <f>IF(O113+1&lt;=MIN('Données projet'!$E$9:$E$18),O113+1,"STOP")</f>
        <v>STOP</v>
      </c>
      <c r="P114" s="195" t="e">
        <f t="shared" si="7"/>
        <v>#VALUE!</v>
      </c>
      <c r="Q114" s="264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08">
        <v>5</v>
      </c>
      <c r="B115" s="211" t="s">
        <v>132</v>
      </c>
      <c r="C115" s="210" t="s">
        <v>132</v>
      </c>
      <c r="D115" s="209" t="s">
        <v>132</v>
      </c>
      <c r="E115" s="204"/>
      <c r="F115" s="260"/>
      <c r="G115" s="220"/>
      <c r="H115" s="201"/>
      <c r="I115" s="202"/>
      <c r="J115" s="5"/>
      <c r="K115" s="181"/>
      <c r="L115" s="5"/>
      <c r="M115" s="5"/>
      <c r="N115" s="5"/>
      <c r="O115" s="205" t="e">
        <f>IF(O114+1&lt;=MIN('Données projet'!$E$9:$E$18),O114+1,"STOP")</f>
        <v>#VALUE!</v>
      </c>
      <c r="P115" s="195" t="e">
        <f t="shared" si="7"/>
        <v>#VALUE!</v>
      </c>
      <c r="Q115" s="264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0">
        <f>'Données projet'!A114</f>
        <v>20</v>
      </c>
      <c r="B116" s="191">
        <f>'Données projet'!D114</f>
        <v>0</v>
      </c>
      <c r="C116" s="202"/>
      <c r="D116" s="189">
        <f>B116*C116</f>
        <v>0</v>
      </c>
      <c r="E116" s="204"/>
      <c r="F116" s="261"/>
      <c r="G116" s="220"/>
      <c r="H116" s="201"/>
      <c r="I116" s="202"/>
      <c r="J116" s="5"/>
      <c r="K116" s="181"/>
      <c r="L116" s="5"/>
      <c r="M116" s="5"/>
      <c r="N116" s="5"/>
      <c r="O116" s="205" t="e">
        <f>IF(O115+1&lt;=MIN('Données projet'!$E$9:$E$18),O115+1,"STOP")</f>
        <v>#VALUE!</v>
      </c>
      <c r="P116" s="195" t="e">
        <f t="shared" si="7"/>
        <v>#VALUE!</v>
      </c>
      <c r="Q116" s="264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0">
        <f>'Données projet'!A115</f>
        <v>25</v>
      </c>
      <c r="B117" s="191">
        <f>'Données projet'!D115</f>
        <v>0</v>
      </c>
      <c r="C117" s="202"/>
      <c r="D117" s="189">
        <f t="shared" ref="D117:D135" si="8">B117*C117</f>
        <v>0</v>
      </c>
      <c r="E117" s="204"/>
      <c r="F117" s="261"/>
      <c r="G117" s="220"/>
      <c r="H117" s="201"/>
      <c r="I117" s="202"/>
      <c r="J117" s="5"/>
      <c r="K117" s="181"/>
      <c r="L117" s="5"/>
      <c r="M117" s="5"/>
      <c r="N117" s="5"/>
      <c r="O117" s="205" t="e">
        <f>IF(O116+1&lt;=MIN('Données projet'!$E$9:$E$18),O116+1,"STOP")</f>
        <v>#VALUE!</v>
      </c>
      <c r="P117" s="195" t="e">
        <f t="shared" si="7"/>
        <v>#VALUE!</v>
      </c>
      <c r="Q117" s="264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0">
        <f>'Données projet'!A116</f>
        <v>30</v>
      </c>
      <c r="B118" s="191">
        <f>'Données projet'!D116</f>
        <v>17.307692307692307</v>
      </c>
      <c r="C118" s="202">
        <v>10</v>
      </c>
      <c r="D118" s="189">
        <f t="shared" si="8"/>
        <v>173.07692307692307</v>
      </c>
      <c r="E118" s="204"/>
      <c r="F118" s="261"/>
      <c r="G118" s="220"/>
      <c r="H118" s="201"/>
      <c r="I118" s="202"/>
      <c r="J118" s="5"/>
      <c r="K118" s="181"/>
      <c r="L118" s="5"/>
      <c r="M118" s="5"/>
      <c r="N118" s="5"/>
      <c r="O118" s="205" t="e">
        <f>IF(O117+1&lt;=MIN('Données projet'!$E$9:$E$18),O117+1,"STOP")</f>
        <v>#VALUE!</v>
      </c>
      <c r="P118" s="195" t="e">
        <f t="shared" si="7"/>
        <v>#VALUE!</v>
      </c>
      <c r="Q118" s="264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0">
        <f>'Données projet'!A117</f>
        <v>35</v>
      </c>
      <c r="B119" s="191">
        <f>'Données projet'!D117</f>
        <v>0</v>
      </c>
      <c r="C119" s="202"/>
      <c r="D119" s="189">
        <f t="shared" si="8"/>
        <v>0</v>
      </c>
      <c r="E119" s="204"/>
      <c r="F119" s="261"/>
      <c r="G119" s="220"/>
      <c r="H119" s="201"/>
      <c r="I119" s="202"/>
      <c r="J119" s="5"/>
      <c r="K119" s="181"/>
      <c r="L119" s="5"/>
      <c r="M119" s="5"/>
      <c r="N119" s="5"/>
      <c r="O119" s="205" t="e">
        <f>IF(O118+1&lt;=MIN('Données projet'!$E$9:$E$18),O118+1,"STOP")</f>
        <v>#VALUE!</v>
      </c>
      <c r="P119" s="195" t="e">
        <f t="shared" si="7"/>
        <v>#VALUE!</v>
      </c>
      <c r="Q119" s="264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0">
        <f>'Données projet'!A118</f>
        <v>40</v>
      </c>
      <c r="B120" s="191">
        <f>'Données projet'!D118</f>
        <v>17.307692307692307</v>
      </c>
      <c r="C120" s="202">
        <v>10</v>
      </c>
      <c r="D120" s="189">
        <f t="shared" si="8"/>
        <v>173.07692307692307</v>
      </c>
      <c r="E120" s="204"/>
      <c r="F120" s="261"/>
      <c r="G120" s="220"/>
      <c r="H120" s="201"/>
      <c r="I120" s="202"/>
      <c r="J120" s="5"/>
      <c r="K120" s="181"/>
      <c r="L120" s="5"/>
      <c r="M120" s="5"/>
      <c r="N120" s="5"/>
      <c r="O120" s="205" t="e">
        <f>IF(O119+1&lt;=MIN('Données projet'!$E$9:$E$18),O119+1,"STOP")</f>
        <v>#VALUE!</v>
      </c>
      <c r="P120" s="195" t="e">
        <f t="shared" si="7"/>
        <v>#VALUE!</v>
      </c>
      <c r="Q120" s="264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0">
        <f>'Données projet'!A119</f>
        <v>45</v>
      </c>
      <c r="B121" s="191">
        <f>'Données projet'!D119</f>
        <v>0</v>
      </c>
      <c r="C121" s="202"/>
      <c r="D121" s="189">
        <f t="shared" si="8"/>
        <v>0</v>
      </c>
      <c r="E121" s="204"/>
      <c r="F121" s="261"/>
      <c r="G121" s="220"/>
      <c r="H121" s="201"/>
      <c r="I121" s="202"/>
      <c r="J121" s="5"/>
      <c r="K121" s="181"/>
      <c r="L121" s="5"/>
      <c r="M121" s="5"/>
      <c r="N121" s="5"/>
      <c r="O121" s="205" t="e">
        <f>IF(O120+1&lt;=MIN('Données projet'!$E$9:$E$18),O120+1,"STOP")</f>
        <v>#VALUE!</v>
      </c>
      <c r="P121" s="195" t="e">
        <f t="shared" si="7"/>
        <v>#VALUE!</v>
      </c>
      <c r="Q121" s="264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0">
        <f>'Données projet'!A120</f>
        <v>50</v>
      </c>
      <c r="B122" s="191">
        <f>'Données projet'!D120</f>
        <v>18.589743589743588</v>
      </c>
      <c r="C122" s="202">
        <v>10</v>
      </c>
      <c r="D122" s="189">
        <f t="shared" si="8"/>
        <v>185.89743589743588</v>
      </c>
      <c r="E122" s="204"/>
      <c r="F122" s="261"/>
      <c r="G122" s="221"/>
      <c r="H122" s="201"/>
      <c r="I122" s="202"/>
      <c r="J122" s="5"/>
      <c r="K122" s="181"/>
      <c r="L122" s="5"/>
      <c r="M122" s="5"/>
      <c r="N122" s="5"/>
      <c r="O122" s="205" t="e">
        <f>IF(O121+1&lt;=MIN('Données projet'!$E$9:$E$18),O121+1,"STOP")</f>
        <v>#VALUE!</v>
      </c>
      <c r="P122" s="195" t="e">
        <f t="shared" si="7"/>
        <v>#VALUE!</v>
      </c>
      <c r="Q122" s="264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0">
        <f>'Données projet'!A121</f>
        <v>55</v>
      </c>
      <c r="B123" s="191">
        <f>'Données projet'!D121</f>
        <v>0</v>
      </c>
      <c r="C123" s="202"/>
      <c r="D123" s="189">
        <f t="shared" si="8"/>
        <v>0</v>
      </c>
      <c r="E123" s="204"/>
      <c r="F123" s="261"/>
      <c r="G123" s="221"/>
      <c r="H123" s="201"/>
      <c r="I123" s="202"/>
      <c r="J123" s="5"/>
      <c r="K123" s="181"/>
      <c r="L123" s="5"/>
      <c r="M123" s="5"/>
      <c r="N123" s="5"/>
      <c r="O123" s="205" t="e">
        <f>IF(O122+1&lt;=MIN('Données projet'!$E$9:$E$18),O122+1,"STOP")</f>
        <v>#VALUE!</v>
      </c>
      <c r="P123" s="195" t="e">
        <f t="shared" si="7"/>
        <v>#VALUE!</v>
      </c>
      <c r="Q123" s="264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0">
        <f>'Données projet'!A122</f>
        <v>60</v>
      </c>
      <c r="B124" s="191">
        <f>'Données projet'!D122</f>
        <v>19.23076923076923</v>
      </c>
      <c r="C124" s="202">
        <v>15</v>
      </c>
      <c r="D124" s="189">
        <f t="shared" si="8"/>
        <v>288.46153846153845</v>
      </c>
      <c r="E124" s="204"/>
      <c r="F124" s="261"/>
      <c r="G124" s="221"/>
      <c r="H124" s="201"/>
      <c r="I124" s="202"/>
      <c r="J124" s="5"/>
      <c r="K124" s="181"/>
      <c r="L124" s="5"/>
      <c r="M124" s="5"/>
      <c r="N124" s="5"/>
      <c r="O124" s="205" t="e">
        <f>IF(O123+1&lt;=MIN('Données projet'!$E$9:$E$18),O123+1,"STOP")</f>
        <v>#VALUE!</v>
      </c>
      <c r="P124" s="195" t="e">
        <f t="shared" si="7"/>
        <v>#VALUE!</v>
      </c>
      <c r="Q124" s="264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0">
        <f>'Données projet'!A123</f>
        <v>65</v>
      </c>
      <c r="B125" s="191">
        <f>'Données projet'!D123</f>
        <v>0</v>
      </c>
      <c r="C125" s="202"/>
      <c r="D125" s="189">
        <f t="shared" si="8"/>
        <v>0</v>
      </c>
      <c r="E125" s="204"/>
      <c r="F125" s="261"/>
      <c r="G125" s="221"/>
      <c r="H125" s="201"/>
      <c r="I125" s="202"/>
      <c r="J125" s="5"/>
      <c r="K125" s="181"/>
      <c r="L125" s="5"/>
      <c r="M125" s="5"/>
      <c r="N125" s="5"/>
      <c r="O125" s="205" t="e">
        <f>IF(O124+1&lt;=MIN('Données projet'!$E$9:$E$18),O124+1,"STOP")</f>
        <v>#VALUE!</v>
      </c>
      <c r="P125" s="195" t="e">
        <f t="shared" si="7"/>
        <v>#VALUE!</v>
      </c>
      <c r="Q125" s="264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0">
        <f>'Données projet'!A124</f>
        <v>70</v>
      </c>
      <c r="B126" s="191">
        <f>'Données projet'!D124</f>
        <v>18.589743589743588</v>
      </c>
      <c r="C126" s="202">
        <v>20</v>
      </c>
      <c r="D126" s="189">
        <f t="shared" si="8"/>
        <v>371.79487179487177</v>
      </c>
      <c r="E126" s="204"/>
      <c r="F126" s="261"/>
      <c r="G126" s="221"/>
      <c r="H126" s="201"/>
      <c r="I126" s="202"/>
      <c r="J126" s="5"/>
      <c r="K126" s="181"/>
      <c r="L126" s="5"/>
      <c r="M126" s="5"/>
      <c r="N126" s="5"/>
      <c r="O126" s="205" t="e">
        <f>IF(O125+1&lt;=MIN('Données projet'!$E$9:$E$18),O125+1,"STOP")</f>
        <v>#VALUE!</v>
      </c>
      <c r="P126" s="195" t="e">
        <f t="shared" si="7"/>
        <v>#VALUE!</v>
      </c>
      <c r="Q126" s="264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0">
        <f>'Données projet'!A125</f>
        <v>75</v>
      </c>
      <c r="B127" s="191">
        <f>'Données projet'!D125</f>
        <v>0</v>
      </c>
      <c r="C127" s="202"/>
      <c r="D127" s="189">
        <f t="shared" si="8"/>
        <v>0</v>
      </c>
      <c r="E127" s="204"/>
      <c r="F127" s="261"/>
      <c r="G127" s="221"/>
      <c r="H127" s="201"/>
      <c r="I127" s="202"/>
      <c r="J127" s="5"/>
      <c r="K127" s="181"/>
      <c r="L127" s="5"/>
      <c r="M127" s="5"/>
      <c r="N127" s="5"/>
      <c r="O127" s="205" t="e">
        <f>IF(O126+1&lt;=MIN('Données projet'!$E$9:$E$18),O126+1,"STOP")</f>
        <v>#VALUE!</v>
      </c>
      <c r="P127" s="195" t="e">
        <f t="shared" si="7"/>
        <v>#VALUE!</v>
      </c>
      <c r="Q127" s="264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0">
        <f>'Données projet'!A126</f>
        <v>80</v>
      </c>
      <c r="B128" s="191">
        <f>'Données projet'!D126</f>
        <v>17.948717948717949</v>
      </c>
      <c r="C128" s="202">
        <v>25</v>
      </c>
      <c r="D128" s="189">
        <f t="shared" si="8"/>
        <v>448.71794871794873</v>
      </c>
      <c r="E128" s="204"/>
      <c r="F128" s="261"/>
      <c r="G128" s="221"/>
      <c r="H128" s="201"/>
      <c r="I128" s="202"/>
      <c r="J128" s="5"/>
      <c r="K128" s="181"/>
      <c r="L128" s="5"/>
      <c r="M128" s="5"/>
      <c r="N128" s="5"/>
      <c r="O128" s="205" t="e">
        <f>IF(O127+1&lt;=MIN('Données projet'!$E$9:$E$18),O127+1,"STOP")</f>
        <v>#VALUE!</v>
      </c>
      <c r="P128" s="195" t="e">
        <f t="shared" si="7"/>
        <v>#VALUE!</v>
      </c>
      <c r="Q128" s="264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0">
        <f>'Données projet'!A127</f>
        <v>85</v>
      </c>
      <c r="B129" s="191">
        <f>'Données projet'!D127</f>
        <v>0</v>
      </c>
      <c r="C129" s="202"/>
      <c r="D129" s="189">
        <f t="shared" si="8"/>
        <v>0</v>
      </c>
      <c r="E129" s="204"/>
      <c r="F129" s="261"/>
      <c r="G129" s="221"/>
      <c r="H129" s="201"/>
      <c r="I129" s="202"/>
      <c r="J129" s="5"/>
      <c r="K129" s="181"/>
      <c r="L129" s="5"/>
      <c r="M129" s="5"/>
      <c r="N129" s="5"/>
      <c r="O129" s="205" t="e">
        <f>IF(O128+1&lt;=MIN('Données projet'!$E$9:$E$18),O128+1,"STOP")</f>
        <v>#VALUE!</v>
      </c>
      <c r="P129" s="195" t="e">
        <f>$P$25/(1+$M$4)^O129</f>
        <v>#VALUE!</v>
      </c>
      <c r="Q129" s="264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0">
        <f>'Données projet'!A128</f>
        <v>90</v>
      </c>
      <c r="B130" s="191">
        <f>'Données projet'!D128</f>
        <v>16.666666666666668</v>
      </c>
      <c r="C130" s="202">
        <v>30</v>
      </c>
      <c r="D130" s="189">
        <f t="shared" si="8"/>
        <v>500.00000000000006</v>
      </c>
      <c r="E130" s="204"/>
      <c r="F130" s="261"/>
      <c r="G130" s="221"/>
      <c r="H130" s="201"/>
      <c r="I130" s="202"/>
      <c r="J130" s="5"/>
      <c r="K130" s="181"/>
      <c r="L130" s="5"/>
      <c r="M130" s="5"/>
      <c r="N130" s="5"/>
      <c r="O130" s="205" t="e">
        <f>IF(O129+1&lt;=MIN('Données projet'!$E$9:$E$18),O129+1,"STOP")</f>
        <v>#VALUE!</v>
      </c>
      <c r="P130" s="195" t="e">
        <f>$P$25/(1+$M$4)^O130</f>
        <v>#VALUE!</v>
      </c>
      <c r="Q130" s="264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0">
        <f>'Données projet'!A129</f>
        <v>95</v>
      </c>
      <c r="B131" s="191">
        <f>'Données projet'!D129</f>
        <v>0</v>
      </c>
      <c r="C131" s="202"/>
      <c r="D131" s="189">
        <f t="shared" si="8"/>
        <v>0</v>
      </c>
      <c r="E131" s="204"/>
      <c r="F131" s="261"/>
      <c r="G131" s="221"/>
      <c r="H131" s="201"/>
      <c r="I131" s="202"/>
      <c r="J131" s="5"/>
      <c r="K131" s="181"/>
      <c r="L131" s="5"/>
      <c r="M131" s="5"/>
      <c r="N131" s="5"/>
      <c r="O131" s="205" t="e">
        <f>IF(O130+1&lt;=MIN('Données projet'!$E$9:$E$18),O130+1,"STOP")</f>
        <v>#VALUE!</v>
      </c>
      <c r="P131" s="195" t="e">
        <f>$P$25/(1+$M$4)^O131</f>
        <v>#VALUE!</v>
      </c>
      <c r="Q131" s="264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0">
        <f>'Données projet'!A130</f>
        <v>100</v>
      </c>
      <c r="B132" s="191">
        <f>'Données projet'!D130</f>
        <v>16.025641025641026</v>
      </c>
      <c r="C132" s="202">
        <v>40</v>
      </c>
      <c r="D132" s="189">
        <f t="shared" si="8"/>
        <v>641.02564102564099</v>
      </c>
      <c r="E132" s="204"/>
      <c r="F132" s="261"/>
      <c r="G132" s="221"/>
      <c r="H132" s="201"/>
      <c r="I132" s="202"/>
      <c r="J132" s="5"/>
      <c r="K132" s="181"/>
      <c r="L132" s="5"/>
      <c r="M132" s="5"/>
      <c r="N132" s="5"/>
      <c r="O132" s="205" t="e">
        <f>IF(O131+1&lt;=MIN('Données projet'!$E$9:$E$18),O131+1,"STOP")</f>
        <v>#VALUE!</v>
      </c>
      <c r="P132" s="195" t="e">
        <f>$P$25/(1+$M$4)^O132</f>
        <v>#VALUE!</v>
      </c>
      <c r="Q132" s="264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0">
        <f>'Données projet'!A131</f>
        <v>115</v>
      </c>
      <c r="B133" s="191">
        <f>'Données projet'!D131</f>
        <v>21.153846153846153</v>
      </c>
      <c r="C133" s="202">
        <v>45</v>
      </c>
      <c r="D133" s="189">
        <f t="shared" si="8"/>
        <v>951.92307692307691</v>
      </c>
      <c r="E133" s="204"/>
      <c r="F133" s="261"/>
      <c r="G133" s="221"/>
      <c r="H133" s="201"/>
      <c r="I133" s="202"/>
      <c r="J133" s="5"/>
      <c r="K133" s="181"/>
      <c r="Q133" s="264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0">
        <f>'Données projet'!A132</f>
        <v>130</v>
      </c>
      <c r="B134" s="191">
        <f>'Données projet'!D132</f>
        <v>265.38461538461536</v>
      </c>
      <c r="C134" s="202">
        <v>50</v>
      </c>
      <c r="D134" s="189">
        <f t="shared" si="8"/>
        <v>13269.230769230768</v>
      </c>
      <c r="E134" s="204"/>
      <c r="F134" s="261"/>
      <c r="G134" s="221"/>
      <c r="H134" s="201"/>
      <c r="I134" s="202"/>
      <c r="J134" s="5"/>
      <c r="K134" s="181"/>
      <c r="Q134" s="264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0">
        <f>'Données projet'!A133</f>
        <v>0</v>
      </c>
      <c r="B135" s="191">
        <f>'Données projet'!D133</f>
        <v>0</v>
      </c>
      <c r="C135" s="202"/>
      <c r="D135" s="189">
        <f t="shared" si="8"/>
        <v>0</v>
      </c>
      <c r="E135" s="204"/>
      <c r="F135" s="261"/>
      <c r="G135" s="221"/>
      <c r="H135" s="201"/>
      <c r="I135" s="202"/>
      <c r="J135" s="5"/>
      <c r="K135" s="181"/>
      <c r="Q135" s="264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59"/>
      <c r="G136" s="221"/>
      <c r="H136" s="201"/>
      <c r="I136" s="202"/>
      <c r="J136" s="5"/>
      <c r="K136" s="181"/>
      <c r="L136" s="5"/>
      <c r="M136" s="5"/>
      <c r="N136" s="5"/>
      <c r="Q136" s="264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59"/>
      <c r="G137" s="221"/>
      <c r="H137" s="201"/>
      <c r="I137" s="202"/>
      <c r="J137" s="5"/>
      <c r="K137" s="181"/>
      <c r="L137" s="5"/>
      <c r="M137" s="5"/>
      <c r="N137" s="5"/>
      <c r="Q137" s="264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4" t="str">
        <f>IF('Données projet'!B13="","",'Données projet'!B13)</f>
        <v>Erable champêtre</v>
      </c>
      <c r="C138" s="5"/>
      <c r="D138" s="5"/>
      <c r="E138" s="5"/>
      <c r="F138" s="259"/>
      <c r="G138" s="221"/>
      <c r="H138" s="201"/>
      <c r="I138" s="202"/>
      <c r="J138" s="5"/>
      <c r="K138" s="181"/>
      <c r="L138" s="5"/>
      <c r="M138" s="5"/>
      <c r="N138" s="5"/>
      <c r="Q138" s="264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59"/>
      <c r="G139" s="221"/>
      <c r="H139" s="201"/>
      <c r="I139" s="202"/>
      <c r="J139" s="5"/>
      <c r="K139" s="181"/>
      <c r="L139" s="5"/>
      <c r="M139" s="5"/>
      <c r="N139" s="5"/>
      <c r="Q139" s="264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5" t="s">
        <v>180</v>
      </c>
      <c r="B140" s="51" t="s">
        <v>256</v>
      </c>
      <c r="C140" s="51" t="s">
        <v>255</v>
      </c>
      <c r="D140" s="255" t="s">
        <v>252</v>
      </c>
      <c r="E140" s="255" t="s">
        <v>320</v>
      </c>
      <c r="F140" s="260"/>
      <c r="G140" s="221"/>
      <c r="H140" s="201"/>
      <c r="I140" s="202"/>
      <c r="J140" s="5"/>
      <c r="K140" s="181"/>
      <c r="L140" s="5"/>
      <c r="M140" s="5"/>
      <c r="N140" s="5"/>
      <c r="Q140" s="264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08">
        <v>0</v>
      </c>
      <c r="B141" s="211" t="s">
        <v>132</v>
      </c>
      <c r="C141" s="210" t="s">
        <v>132</v>
      </c>
      <c r="D141" s="209" t="s">
        <v>132</v>
      </c>
      <c r="E141" s="204"/>
      <c r="F141" s="260"/>
      <c r="G141" s="221"/>
      <c r="H141" s="201"/>
      <c r="I141" s="202"/>
      <c r="J141" s="5"/>
      <c r="K141" s="181"/>
      <c r="L141" s="5"/>
      <c r="M141" s="5"/>
      <c r="N141" s="5"/>
      <c r="Q141" s="264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08">
        <v>1</v>
      </c>
      <c r="B142" s="211" t="s">
        <v>132</v>
      </c>
      <c r="C142" s="210" t="s">
        <v>132</v>
      </c>
      <c r="D142" s="209" t="s">
        <v>132</v>
      </c>
      <c r="E142" s="204"/>
      <c r="F142" s="260"/>
      <c r="G142" s="219"/>
      <c r="H142" s="201"/>
      <c r="I142" s="202"/>
      <c r="J142" s="5"/>
      <c r="K142" s="181"/>
      <c r="L142" s="5"/>
      <c r="M142" s="5"/>
      <c r="N142" s="5"/>
      <c r="Q142" s="264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08">
        <v>2</v>
      </c>
      <c r="B143" s="211" t="s">
        <v>132</v>
      </c>
      <c r="C143" s="210" t="s">
        <v>132</v>
      </c>
      <c r="D143" s="209" t="s">
        <v>132</v>
      </c>
      <c r="E143" s="204"/>
      <c r="F143" s="260"/>
      <c r="G143" s="219"/>
      <c r="H143" s="201"/>
      <c r="I143" s="202"/>
      <c r="J143" s="5"/>
      <c r="K143" s="181"/>
      <c r="L143" s="5"/>
      <c r="M143" s="5"/>
      <c r="N143" s="5"/>
      <c r="Q143" s="264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08">
        <v>3</v>
      </c>
      <c r="B144" s="211" t="s">
        <v>132</v>
      </c>
      <c r="C144" s="210" t="s">
        <v>132</v>
      </c>
      <c r="D144" s="209" t="s">
        <v>132</v>
      </c>
      <c r="E144" s="204"/>
      <c r="F144" s="260"/>
      <c r="G144" s="219"/>
      <c r="H144" s="201"/>
      <c r="I144" s="202"/>
      <c r="J144" s="5"/>
      <c r="K144" s="181"/>
      <c r="L144" s="5"/>
      <c r="M144" s="5"/>
      <c r="N144" s="5"/>
      <c r="Q144" s="264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08">
        <v>4</v>
      </c>
      <c r="B145" s="211" t="s">
        <v>132</v>
      </c>
      <c r="C145" s="210" t="s">
        <v>132</v>
      </c>
      <c r="D145" s="209" t="s">
        <v>132</v>
      </c>
      <c r="E145" s="204"/>
      <c r="F145" s="260"/>
      <c r="G145" s="219"/>
      <c r="H145" s="201"/>
      <c r="I145" s="202"/>
      <c r="J145" s="5"/>
      <c r="K145" s="181"/>
      <c r="L145" s="5"/>
      <c r="M145" s="5"/>
      <c r="N145" s="5"/>
      <c r="Q145" s="264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08">
        <v>5</v>
      </c>
      <c r="B146" s="211" t="s">
        <v>132</v>
      </c>
      <c r="C146" s="210" t="s">
        <v>132</v>
      </c>
      <c r="D146" s="209" t="s">
        <v>132</v>
      </c>
      <c r="E146" s="204"/>
      <c r="F146" s="260"/>
      <c r="G146" s="220"/>
      <c r="H146" s="201"/>
      <c r="I146" s="202"/>
      <c r="J146" s="5"/>
      <c r="K146" s="181"/>
      <c r="L146" s="5"/>
      <c r="M146" s="5"/>
      <c r="N146" s="5"/>
      <c r="Q146" s="264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15</v>
      </c>
      <c r="B147" s="185">
        <f>'Données projet'!D140</f>
        <v>0</v>
      </c>
      <c r="C147" s="202"/>
      <c r="D147" s="192">
        <f>B147*C147</f>
        <v>0</v>
      </c>
      <c r="E147" s="204"/>
      <c r="F147" s="262"/>
      <c r="G147" s="220"/>
      <c r="H147" s="201"/>
      <c r="I147" s="202"/>
      <c r="J147" s="5"/>
      <c r="K147" s="181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20</v>
      </c>
      <c r="B148" s="185">
        <f>'Données projet'!D141</f>
        <v>0</v>
      </c>
      <c r="C148" s="202"/>
      <c r="D148" s="192">
        <f t="shared" ref="D148:D166" si="9">B148*C148</f>
        <v>0</v>
      </c>
      <c r="E148" s="204"/>
      <c r="F148" s="262"/>
      <c r="G148" s="220"/>
      <c r="H148" s="201"/>
      <c r="I148" s="202"/>
      <c r="J148" s="5"/>
      <c r="K148" s="181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25</v>
      </c>
      <c r="B149" s="185">
        <f>'Données projet'!D142</f>
        <v>42</v>
      </c>
      <c r="C149" s="204">
        <v>10</v>
      </c>
      <c r="D149" s="192">
        <f t="shared" si="9"/>
        <v>420</v>
      </c>
      <c r="E149" s="204"/>
      <c r="F149" s="262"/>
      <c r="G149" s="220"/>
      <c r="H149" s="201"/>
      <c r="I149" s="202"/>
      <c r="J149" s="5"/>
      <c r="K149" s="181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30</v>
      </c>
      <c r="B150" s="185">
        <f>'Données projet'!D143</f>
        <v>0</v>
      </c>
      <c r="C150" s="204"/>
      <c r="D150" s="192">
        <f t="shared" si="9"/>
        <v>0</v>
      </c>
      <c r="E150" s="204"/>
      <c r="F150" s="262"/>
      <c r="G150" s="220"/>
      <c r="H150" s="201"/>
      <c r="I150" s="202"/>
      <c r="J150" s="5"/>
      <c r="K150" s="181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35</v>
      </c>
      <c r="B151" s="185">
        <f>'Données projet'!D144</f>
        <v>42</v>
      </c>
      <c r="C151" s="204">
        <v>15</v>
      </c>
      <c r="D151" s="192">
        <f t="shared" si="9"/>
        <v>630</v>
      </c>
      <c r="E151" s="204"/>
      <c r="F151" s="262"/>
      <c r="G151" s="220"/>
      <c r="H151" s="201"/>
      <c r="I151" s="202"/>
      <c r="J151" s="5"/>
      <c r="K151" s="181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40</v>
      </c>
      <c r="B152" s="185">
        <f>'Données projet'!D145</f>
        <v>0</v>
      </c>
      <c r="C152" s="204"/>
      <c r="D152" s="192">
        <f t="shared" si="9"/>
        <v>0</v>
      </c>
      <c r="E152" s="204"/>
      <c r="F152" s="262"/>
      <c r="G152" s="220"/>
      <c r="H152" s="201"/>
      <c r="I152" s="202"/>
      <c r="J152" s="5"/>
      <c r="K152" s="181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45</v>
      </c>
      <c r="B153" s="185">
        <f>'Données projet'!D146</f>
        <v>39</v>
      </c>
      <c r="C153" s="204">
        <v>20</v>
      </c>
      <c r="D153" s="192">
        <f t="shared" si="9"/>
        <v>780</v>
      </c>
      <c r="E153" s="204"/>
      <c r="F153" s="262"/>
      <c r="G153" s="216"/>
      <c r="H153" s="201"/>
      <c r="I153" s="202"/>
      <c r="J153" s="5"/>
      <c r="K153" s="181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50</v>
      </c>
      <c r="B154" s="185">
        <f>'Données projet'!D147</f>
        <v>0</v>
      </c>
      <c r="C154" s="204"/>
      <c r="D154" s="192">
        <f t="shared" si="9"/>
        <v>0</v>
      </c>
      <c r="E154" s="204"/>
      <c r="F154" s="262"/>
      <c r="G154" s="216"/>
      <c r="H154" s="201"/>
      <c r="I154" s="202"/>
      <c r="J154" s="5"/>
      <c r="K154" s="181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55</v>
      </c>
      <c r="B155" s="185">
        <f>'Données projet'!D148</f>
        <v>24</v>
      </c>
      <c r="C155" s="204">
        <v>25</v>
      </c>
      <c r="D155" s="192">
        <f t="shared" si="9"/>
        <v>600</v>
      </c>
      <c r="E155" s="204"/>
      <c r="F155" s="262"/>
      <c r="G155" s="216"/>
      <c r="H155" s="201"/>
      <c r="I155" s="202"/>
      <c r="J155" s="5"/>
      <c r="K155" s="181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60</v>
      </c>
      <c r="B156" s="185">
        <f>'Données projet'!D149</f>
        <v>0</v>
      </c>
      <c r="C156" s="204"/>
      <c r="D156" s="192">
        <f t="shared" si="9"/>
        <v>0</v>
      </c>
      <c r="E156" s="204"/>
      <c r="F156" s="262"/>
      <c r="G156" s="216"/>
      <c r="H156" s="201"/>
      <c r="I156" s="202"/>
      <c r="J156" s="5"/>
      <c r="K156" s="181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65</v>
      </c>
      <c r="B157" s="185">
        <f>'Données projet'!D150</f>
        <v>17</v>
      </c>
      <c r="C157" s="204">
        <v>30</v>
      </c>
      <c r="D157" s="192">
        <f t="shared" si="9"/>
        <v>510</v>
      </c>
      <c r="E157" s="204"/>
      <c r="F157" s="262"/>
      <c r="G157" s="216"/>
      <c r="H157" s="201"/>
      <c r="I157" s="202"/>
      <c r="J157" s="5"/>
      <c r="K157" s="181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70</v>
      </c>
      <c r="B158" s="185">
        <f>'Données projet'!D151</f>
        <v>0</v>
      </c>
      <c r="C158" s="204"/>
      <c r="D158" s="192">
        <f t="shared" si="9"/>
        <v>0</v>
      </c>
      <c r="E158" s="204"/>
      <c r="F158" s="262"/>
      <c r="G158" s="216"/>
      <c r="H158" s="201"/>
      <c r="I158" s="202"/>
      <c r="J158" s="5"/>
      <c r="K158" s="181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75</v>
      </c>
      <c r="B159" s="185">
        <f>'Données projet'!D152</f>
        <v>0</v>
      </c>
      <c r="C159" s="204">
        <v>40</v>
      </c>
      <c r="D159" s="192">
        <f t="shared" si="9"/>
        <v>0</v>
      </c>
      <c r="E159" s="204"/>
      <c r="F159" s="262"/>
      <c r="G159" s="216"/>
      <c r="H159" s="201"/>
      <c r="I159" s="202"/>
      <c r="J159" s="5"/>
      <c r="K159" s="181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80</v>
      </c>
      <c r="B160" s="185">
        <f>'Données projet'!D153</f>
        <v>234</v>
      </c>
      <c r="C160" s="202"/>
      <c r="D160" s="192">
        <f t="shared" si="9"/>
        <v>0</v>
      </c>
      <c r="E160" s="204"/>
      <c r="F160" s="262"/>
      <c r="G160" s="216"/>
      <c r="H160" s="201"/>
      <c r="I160" s="202"/>
      <c r="J160" s="5"/>
      <c r="K160" s="181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5">
        <f>'Données projet'!D154</f>
        <v>0</v>
      </c>
      <c r="C161" s="202"/>
      <c r="D161" s="192">
        <f t="shared" si="9"/>
        <v>0</v>
      </c>
      <c r="E161" s="204"/>
      <c r="F161" s="262"/>
      <c r="G161" s="216"/>
      <c r="H161" s="201"/>
      <c r="I161" s="202"/>
      <c r="J161" s="5"/>
      <c r="K161" s="181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5">
        <f>'Données projet'!D155</f>
        <v>0</v>
      </c>
      <c r="C162" s="202"/>
      <c r="D162" s="192">
        <f t="shared" si="9"/>
        <v>0</v>
      </c>
      <c r="E162" s="204"/>
      <c r="F162" s="262"/>
      <c r="G162" s="216"/>
      <c r="H162" s="201"/>
      <c r="I162" s="202"/>
      <c r="J162" s="5"/>
      <c r="K162" s="181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5">
        <f>'Données projet'!D156</f>
        <v>0</v>
      </c>
      <c r="C163" s="202"/>
      <c r="D163" s="192">
        <f t="shared" si="9"/>
        <v>0</v>
      </c>
      <c r="E163" s="204"/>
      <c r="F163" s="262"/>
      <c r="G163" s="216"/>
      <c r="H163" s="201"/>
      <c r="I163" s="202"/>
      <c r="J163" s="5"/>
      <c r="K163" s="181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5">
        <f>'Données projet'!D157</f>
        <v>0</v>
      </c>
      <c r="C164" s="202"/>
      <c r="D164" s="192">
        <f t="shared" si="9"/>
        <v>0</v>
      </c>
      <c r="E164" s="204"/>
      <c r="F164" s="262"/>
      <c r="G164" s="216"/>
      <c r="H164" s="201"/>
      <c r="I164" s="202"/>
      <c r="J164" s="5"/>
      <c r="K164" s="181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5">
        <f>'Données projet'!D158</f>
        <v>0</v>
      </c>
      <c r="C165" s="202"/>
      <c r="D165" s="192">
        <f t="shared" si="9"/>
        <v>0</v>
      </c>
      <c r="E165" s="204"/>
      <c r="F165" s="262"/>
      <c r="G165" s="216"/>
      <c r="H165" s="201"/>
      <c r="I165" s="202"/>
      <c r="J165" s="5"/>
      <c r="K165" s="181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5">
        <f>'Données projet'!D159</f>
        <v>0</v>
      </c>
      <c r="C166" s="202"/>
      <c r="D166" s="192">
        <f t="shared" si="9"/>
        <v>0</v>
      </c>
      <c r="E166" s="204"/>
      <c r="F166" s="262"/>
      <c r="G166" s="216"/>
      <c r="H166" s="201"/>
      <c r="I166" s="202"/>
      <c r="J166" s="5"/>
      <c r="K166" s="181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59"/>
      <c r="G167" s="216"/>
      <c r="H167" s="201"/>
      <c r="I167" s="202"/>
      <c r="J167" s="5"/>
      <c r="K167" s="181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59"/>
      <c r="G168" s="216"/>
      <c r="H168" s="201"/>
      <c r="I168" s="202"/>
      <c r="J168" s="5"/>
      <c r="K168" s="181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4" t="str">
        <f>IF('Données projet'!B14="","",'Données projet'!B14)</f>
        <v>Chêne chevelu</v>
      </c>
      <c r="C169" s="5"/>
      <c r="D169" s="5"/>
      <c r="E169" s="5"/>
      <c r="F169" s="259"/>
      <c r="G169" s="216"/>
      <c r="H169" s="201"/>
      <c r="I169" s="202"/>
      <c r="J169" s="5"/>
      <c r="K169" s="181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59"/>
      <c r="G170" s="216"/>
      <c r="H170" s="201"/>
      <c r="I170" s="202"/>
      <c r="J170" s="5"/>
      <c r="K170" s="181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5" t="s">
        <v>180</v>
      </c>
      <c r="B171" s="51" t="s">
        <v>256</v>
      </c>
      <c r="C171" s="51" t="s">
        <v>255</v>
      </c>
      <c r="D171" s="255" t="s">
        <v>252</v>
      </c>
      <c r="E171" s="255" t="s">
        <v>320</v>
      </c>
      <c r="F171" s="260"/>
      <c r="G171" s="216"/>
      <c r="H171" s="201"/>
      <c r="I171" s="202"/>
      <c r="J171" s="5"/>
      <c r="K171" s="181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08">
        <v>0</v>
      </c>
      <c r="B172" s="211" t="s">
        <v>132</v>
      </c>
      <c r="C172" s="210" t="s">
        <v>132</v>
      </c>
      <c r="D172" s="209" t="s">
        <v>132</v>
      </c>
      <c r="E172" s="204"/>
      <c r="F172" s="260"/>
      <c r="G172" s="216"/>
      <c r="H172" s="201"/>
      <c r="I172" s="202"/>
      <c r="J172" s="5"/>
      <c r="K172" s="181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08">
        <v>1</v>
      </c>
      <c r="B173" s="211" t="s">
        <v>132</v>
      </c>
      <c r="C173" s="210" t="s">
        <v>132</v>
      </c>
      <c r="D173" s="209" t="s">
        <v>132</v>
      </c>
      <c r="E173" s="204"/>
      <c r="F173" s="260"/>
      <c r="G173" s="219"/>
      <c r="H173" s="201"/>
      <c r="I173" s="202"/>
      <c r="J173" s="5"/>
      <c r="K173" s="181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08">
        <v>2</v>
      </c>
      <c r="B174" s="211" t="s">
        <v>132</v>
      </c>
      <c r="C174" s="210" t="s">
        <v>132</v>
      </c>
      <c r="D174" s="209" t="s">
        <v>132</v>
      </c>
      <c r="E174" s="204"/>
      <c r="F174" s="260"/>
      <c r="G174" s="219"/>
      <c r="H174" s="201"/>
      <c r="I174" s="202"/>
      <c r="J174" s="5"/>
      <c r="K174" s="181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08">
        <v>3</v>
      </c>
      <c r="B175" s="211" t="s">
        <v>132</v>
      </c>
      <c r="C175" s="210" t="s">
        <v>132</v>
      </c>
      <c r="D175" s="209" t="s">
        <v>132</v>
      </c>
      <c r="E175" s="204"/>
      <c r="F175" s="260"/>
      <c r="G175" s="219"/>
      <c r="H175" s="201"/>
      <c r="I175" s="202"/>
      <c r="J175" s="5"/>
      <c r="K175" s="181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08">
        <v>4</v>
      </c>
      <c r="B176" s="211" t="s">
        <v>132</v>
      </c>
      <c r="C176" s="210" t="s">
        <v>132</v>
      </c>
      <c r="D176" s="209" t="s">
        <v>132</v>
      </c>
      <c r="E176" s="204"/>
      <c r="F176" s="260"/>
      <c r="G176" s="219"/>
      <c r="H176" s="201"/>
      <c r="I176" s="202"/>
      <c r="J176" s="5"/>
      <c r="K176" s="181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08">
        <v>5</v>
      </c>
      <c r="B177" s="211" t="s">
        <v>132</v>
      </c>
      <c r="C177" s="210" t="s">
        <v>132</v>
      </c>
      <c r="D177" s="209" t="s">
        <v>132</v>
      </c>
      <c r="E177" s="204"/>
      <c r="F177" s="260"/>
      <c r="G177" s="220"/>
      <c r="H177" s="201"/>
      <c r="I177" s="202"/>
      <c r="J177" s="5"/>
      <c r="K177" s="181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0">
        <f>'Données projet'!A166</f>
        <v>20</v>
      </c>
      <c r="B178" s="191">
        <f>'Données projet'!D166</f>
        <v>0</v>
      </c>
      <c r="C178" s="204"/>
      <c r="D178" s="189">
        <f>B178*C178</f>
        <v>0</v>
      </c>
      <c r="E178" s="204"/>
      <c r="F178" s="261"/>
      <c r="G178" s="220"/>
      <c r="H178" s="201"/>
      <c r="I178" s="202"/>
      <c r="J178" s="5"/>
      <c r="K178" s="181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0">
        <f>'Données projet'!A167</f>
        <v>25</v>
      </c>
      <c r="B179" s="191">
        <f>'Données projet'!D167</f>
        <v>0</v>
      </c>
      <c r="C179" s="204"/>
      <c r="D179" s="189">
        <f t="shared" ref="D179:D197" si="10">B179*C179</f>
        <v>0</v>
      </c>
      <c r="E179" s="204"/>
      <c r="F179" s="261"/>
      <c r="G179" s="220"/>
      <c r="H179" s="201"/>
      <c r="I179" s="202"/>
      <c r="J179" s="5"/>
      <c r="K179" s="181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0">
        <f>'Données projet'!A168</f>
        <v>30</v>
      </c>
      <c r="B180" s="191">
        <f>'Données projet'!D168</f>
        <v>17.307692307692307</v>
      </c>
      <c r="C180" s="202">
        <v>10</v>
      </c>
      <c r="D180" s="189">
        <f t="shared" si="10"/>
        <v>173.07692307692307</v>
      </c>
      <c r="E180" s="204"/>
      <c r="F180" s="261"/>
      <c r="G180" s="220"/>
      <c r="H180" s="201"/>
      <c r="I180" s="202"/>
      <c r="J180" s="5"/>
      <c r="K180" s="181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0">
        <f>'Données projet'!A169</f>
        <v>35</v>
      </c>
      <c r="B181" s="191">
        <f>'Données projet'!D169</f>
        <v>0</v>
      </c>
      <c r="C181" s="202"/>
      <c r="D181" s="189">
        <f t="shared" si="10"/>
        <v>0</v>
      </c>
      <c r="E181" s="204"/>
      <c r="F181" s="261"/>
      <c r="G181" s="220"/>
      <c r="H181" s="201"/>
      <c r="I181" s="202"/>
      <c r="J181" s="5"/>
      <c r="K181" s="181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0">
        <f>'Données projet'!A170</f>
        <v>40</v>
      </c>
      <c r="B182" s="191">
        <f>'Données projet'!D170</f>
        <v>17.307692307692307</v>
      </c>
      <c r="C182" s="202">
        <v>10</v>
      </c>
      <c r="D182" s="189">
        <f t="shared" si="10"/>
        <v>173.07692307692307</v>
      </c>
      <c r="E182" s="204"/>
      <c r="F182" s="261"/>
      <c r="G182" s="220"/>
      <c r="H182" s="201"/>
      <c r="I182" s="202"/>
      <c r="J182" s="5"/>
      <c r="K182" s="181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0">
        <f>'Données projet'!A171</f>
        <v>45</v>
      </c>
      <c r="B183" s="191">
        <f>'Données projet'!D171</f>
        <v>0</v>
      </c>
      <c r="C183" s="202"/>
      <c r="D183" s="189">
        <f t="shared" si="10"/>
        <v>0</v>
      </c>
      <c r="E183" s="204"/>
      <c r="F183" s="261"/>
      <c r="G183" s="220"/>
      <c r="H183" s="201"/>
      <c r="I183" s="202"/>
      <c r="J183" s="5"/>
      <c r="K183" s="181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0">
        <f>'Données projet'!A172</f>
        <v>50</v>
      </c>
      <c r="B184" s="191">
        <f>'Données projet'!D172</f>
        <v>18.589743589743588</v>
      </c>
      <c r="C184" s="202">
        <v>10</v>
      </c>
      <c r="D184" s="189">
        <f t="shared" si="10"/>
        <v>185.89743589743588</v>
      </c>
      <c r="E184" s="204"/>
      <c r="F184" s="261"/>
      <c r="G184" s="221"/>
      <c r="H184" s="201"/>
      <c r="I184" s="202"/>
      <c r="J184" s="5"/>
      <c r="K184" s="181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0">
        <f>'Données projet'!A173</f>
        <v>55</v>
      </c>
      <c r="B185" s="191">
        <f>'Données projet'!D173</f>
        <v>0</v>
      </c>
      <c r="C185" s="202"/>
      <c r="D185" s="189">
        <f t="shared" si="10"/>
        <v>0</v>
      </c>
      <c r="E185" s="204"/>
      <c r="F185" s="261"/>
      <c r="G185" s="221"/>
      <c r="H185" s="201"/>
      <c r="I185" s="202"/>
      <c r="J185" s="5"/>
      <c r="K185" s="181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0">
        <f>'Données projet'!A174</f>
        <v>60</v>
      </c>
      <c r="B186" s="191">
        <f>'Données projet'!D174</f>
        <v>19.23076923076923</v>
      </c>
      <c r="C186" s="202">
        <v>15</v>
      </c>
      <c r="D186" s="189">
        <f t="shared" si="10"/>
        <v>288.46153846153845</v>
      </c>
      <c r="E186" s="204"/>
      <c r="F186" s="261"/>
      <c r="G186" s="221"/>
      <c r="H186" s="201"/>
      <c r="I186" s="202"/>
      <c r="J186" s="5"/>
      <c r="K186" s="181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0">
        <f>'Données projet'!A175</f>
        <v>65</v>
      </c>
      <c r="B187" s="191">
        <f>'Données projet'!D175</f>
        <v>0</v>
      </c>
      <c r="C187" s="202"/>
      <c r="D187" s="189">
        <f t="shared" si="10"/>
        <v>0</v>
      </c>
      <c r="E187" s="204"/>
      <c r="F187" s="261"/>
      <c r="G187" s="221"/>
      <c r="H187" s="201"/>
      <c r="I187" s="202"/>
      <c r="J187" s="5"/>
      <c r="K187" s="181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0">
        <f>'Données projet'!A176</f>
        <v>70</v>
      </c>
      <c r="B188" s="191">
        <f>'Données projet'!D176</f>
        <v>18.589743589743588</v>
      </c>
      <c r="C188" s="202">
        <v>20</v>
      </c>
      <c r="D188" s="189">
        <f t="shared" si="10"/>
        <v>371.79487179487177</v>
      </c>
      <c r="E188" s="204"/>
      <c r="F188" s="261"/>
      <c r="G188" s="221"/>
      <c r="H188" s="201"/>
      <c r="I188" s="202"/>
      <c r="J188" s="5"/>
      <c r="K188" s="181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0">
        <f>'Données projet'!A177</f>
        <v>75</v>
      </c>
      <c r="B189" s="191">
        <f>'Données projet'!D177</f>
        <v>0</v>
      </c>
      <c r="C189" s="202"/>
      <c r="D189" s="189">
        <f t="shared" si="10"/>
        <v>0</v>
      </c>
      <c r="E189" s="204"/>
      <c r="F189" s="261"/>
      <c r="G189" s="221"/>
      <c r="H189" s="201"/>
      <c r="I189" s="202"/>
      <c r="J189" s="5"/>
      <c r="K189" s="181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0">
        <f>'Données projet'!A178</f>
        <v>80</v>
      </c>
      <c r="B190" s="191">
        <f>'Données projet'!D178</f>
        <v>17.948717948717949</v>
      </c>
      <c r="C190" s="202">
        <v>25</v>
      </c>
      <c r="D190" s="189">
        <f t="shared" si="10"/>
        <v>448.71794871794873</v>
      </c>
      <c r="E190" s="204"/>
      <c r="F190" s="261"/>
      <c r="G190" s="221"/>
      <c r="H190" s="201"/>
      <c r="I190" s="202"/>
      <c r="J190" s="5"/>
      <c r="K190" s="181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0">
        <f>'Données projet'!A179</f>
        <v>85</v>
      </c>
      <c r="B191" s="191">
        <f>'Données projet'!D179</f>
        <v>0</v>
      </c>
      <c r="C191" s="202"/>
      <c r="D191" s="189">
        <f t="shared" si="10"/>
        <v>0</v>
      </c>
      <c r="E191" s="204"/>
      <c r="F191" s="261"/>
      <c r="G191" s="221"/>
      <c r="H191" s="201"/>
      <c r="I191" s="202"/>
      <c r="J191" s="5"/>
      <c r="K191" s="181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0">
        <f>'Données projet'!A180</f>
        <v>90</v>
      </c>
      <c r="B192" s="191">
        <f>'Données projet'!D180</f>
        <v>16.666666666666668</v>
      </c>
      <c r="C192" s="202">
        <v>30</v>
      </c>
      <c r="D192" s="189">
        <f t="shared" si="10"/>
        <v>500.00000000000006</v>
      </c>
      <c r="E192" s="204"/>
      <c r="F192" s="261"/>
      <c r="G192" s="221"/>
      <c r="H192" s="201"/>
      <c r="I192" s="202"/>
      <c r="J192" s="5"/>
      <c r="K192" s="181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0">
        <f>'Données projet'!A181</f>
        <v>95</v>
      </c>
      <c r="B193" s="191">
        <f>'Données projet'!D181</f>
        <v>0</v>
      </c>
      <c r="C193" s="202"/>
      <c r="D193" s="189">
        <f t="shared" si="10"/>
        <v>0</v>
      </c>
      <c r="E193" s="204"/>
      <c r="F193" s="261"/>
      <c r="G193" s="221"/>
      <c r="H193" s="201"/>
      <c r="I193" s="202"/>
      <c r="J193" s="5"/>
      <c r="K193" s="181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0">
        <f>'Données projet'!A182</f>
        <v>100</v>
      </c>
      <c r="B194" s="191">
        <f>'Données projet'!D182</f>
        <v>16.025641025641026</v>
      </c>
      <c r="C194" s="202">
        <v>40</v>
      </c>
      <c r="D194" s="189">
        <f t="shared" si="10"/>
        <v>641.02564102564099</v>
      </c>
      <c r="E194" s="204"/>
      <c r="F194" s="261"/>
      <c r="G194" s="221"/>
      <c r="H194" s="201"/>
      <c r="I194" s="202"/>
      <c r="J194" s="5"/>
      <c r="K194" s="181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0">
        <f>'Données projet'!A183</f>
        <v>115</v>
      </c>
      <c r="B195" s="191">
        <f>'Données projet'!D183</f>
        <v>21.153846153846153</v>
      </c>
      <c r="C195" s="202">
        <v>45</v>
      </c>
      <c r="D195" s="189">
        <f t="shared" si="10"/>
        <v>951.92307692307691</v>
      </c>
      <c r="E195" s="204"/>
      <c r="F195" s="261"/>
      <c r="G195" s="221"/>
      <c r="H195" s="201"/>
      <c r="I195" s="202"/>
      <c r="J195" s="5"/>
      <c r="K195" s="181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0">
        <f>'Données projet'!A184</f>
        <v>130</v>
      </c>
      <c r="B196" s="191">
        <f>'Données projet'!D184</f>
        <v>265.38461538461536</v>
      </c>
      <c r="C196" s="202">
        <v>50</v>
      </c>
      <c r="D196" s="189">
        <f t="shared" si="10"/>
        <v>13269.230769230768</v>
      </c>
      <c r="E196" s="204"/>
      <c r="F196" s="261"/>
      <c r="G196" s="221"/>
      <c r="H196" s="201"/>
      <c r="I196" s="202"/>
      <c r="J196" s="5"/>
      <c r="K196" s="181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0">
        <f>'Données projet'!A185</f>
        <v>0</v>
      </c>
      <c r="B197" s="191">
        <f>'Données projet'!D185</f>
        <v>0</v>
      </c>
      <c r="C197" s="204"/>
      <c r="D197" s="189">
        <f t="shared" si="10"/>
        <v>0</v>
      </c>
      <c r="E197" s="204"/>
      <c r="F197" s="261"/>
      <c r="G197" s="221"/>
      <c r="H197" s="201"/>
      <c r="I197" s="202"/>
      <c r="J197" s="5"/>
      <c r="K197" s="181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59"/>
      <c r="G198" s="221"/>
      <c r="H198" s="201"/>
      <c r="I198" s="202"/>
      <c r="J198" s="5"/>
      <c r="K198" s="181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59"/>
      <c r="G199" s="221"/>
      <c r="H199" s="201"/>
      <c r="I199" s="202"/>
      <c r="J199" s="5"/>
      <c r="K199" s="181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4" t="str">
        <f>IF('Données projet'!$B$15="","",'Données projet'!$B$15)</f>
        <v>Cèdre de l'Atlas</v>
      </c>
      <c r="C200" s="5"/>
      <c r="D200" s="5"/>
      <c r="E200" s="5"/>
      <c r="F200" s="259"/>
      <c r="G200" s="221"/>
      <c r="H200" s="201"/>
      <c r="I200" s="202"/>
      <c r="J200" s="5"/>
      <c r="K200" s="181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59"/>
      <c r="G201" s="221"/>
      <c r="H201" s="201"/>
      <c r="I201" s="202"/>
      <c r="J201" s="5"/>
      <c r="K201" s="181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5" t="s">
        <v>180</v>
      </c>
      <c r="B202" s="51" t="s">
        <v>256</v>
      </c>
      <c r="C202" s="51" t="s">
        <v>255</v>
      </c>
      <c r="D202" s="255" t="s">
        <v>252</v>
      </c>
      <c r="E202" s="255" t="s">
        <v>320</v>
      </c>
      <c r="F202" s="260"/>
      <c r="G202" s="221"/>
      <c r="H202" s="201"/>
      <c r="I202" s="202"/>
      <c r="J202" s="5"/>
      <c r="K202" s="181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08">
        <v>0</v>
      </c>
      <c r="B203" s="211" t="s">
        <v>132</v>
      </c>
      <c r="C203" s="210" t="s">
        <v>132</v>
      </c>
      <c r="D203" s="209" t="s">
        <v>132</v>
      </c>
      <c r="E203" s="204"/>
      <c r="F203" s="260"/>
      <c r="G203" s="221"/>
      <c r="H203" s="201"/>
      <c r="I203" s="202"/>
      <c r="J203" s="5"/>
      <c r="K203" s="181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08">
        <v>1</v>
      </c>
      <c r="B204" s="211" t="s">
        <v>132</v>
      </c>
      <c r="C204" s="210" t="s">
        <v>132</v>
      </c>
      <c r="D204" s="209" t="s">
        <v>132</v>
      </c>
      <c r="E204" s="204"/>
      <c r="F204" s="260"/>
      <c r="G204" s="219"/>
      <c r="H204" s="201"/>
      <c r="I204" s="202"/>
      <c r="J204" s="5"/>
      <c r="K204" s="181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08">
        <v>2</v>
      </c>
      <c r="B205" s="211" t="s">
        <v>132</v>
      </c>
      <c r="C205" s="210" t="s">
        <v>132</v>
      </c>
      <c r="D205" s="209" t="s">
        <v>132</v>
      </c>
      <c r="E205" s="204"/>
      <c r="F205" s="260"/>
      <c r="G205" s="219"/>
      <c r="H205" s="201"/>
      <c r="I205" s="202"/>
      <c r="J205" s="5"/>
      <c r="K205" s="181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08">
        <v>3</v>
      </c>
      <c r="B206" s="211" t="s">
        <v>132</v>
      </c>
      <c r="C206" s="210" t="s">
        <v>132</v>
      </c>
      <c r="D206" s="209" t="s">
        <v>132</v>
      </c>
      <c r="E206" s="204"/>
      <c r="F206" s="260"/>
      <c r="G206" s="219"/>
      <c r="H206" s="201"/>
      <c r="I206" s="202"/>
      <c r="J206" s="5"/>
      <c r="K206" s="181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08">
        <v>4</v>
      </c>
      <c r="B207" s="211" t="s">
        <v>132</v>
      </c>
      <c r="C207" s="210" t="s">
        <v>132</v>
      </c>
      <c r="D207" s="209" t="s">
        <v>132</v>
      </c>
      <c r="E207" s="204"/>
      <c r="F207" s="260"/>
      <c r="G207" s="219"/>
      <c r="H207" s="201"/>
      <c r="I207" s="202"/>
      <c r="J207" s="5"/>
      <c r="K207" s="181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08">
        <v>5</v>
      </c>
      <c r="B208" s="211" t="s">
        <v>132</v>
      </c>
      <c r="C208" s="210" t="s">
        <v>132</v>
      </c>
      <c r="D208" s="209" t="s">
        <v>132</v>
      </c>
      <c r="E208" s="204"/>
      <c r="F208" s="260"/>
      <c r="G208" s="220"/>
      <c r="H208" s="201"/>
      <c r="I208" s="202"/>
      <c r="J208" s="5"/>
      <c r="K208" s="181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0">
        <f>'Données projet'!A192</f>
        <v>30</v>
      </c>
      <c r="B209" s="191">
        <f>'Données projet'!D192</f>
        <v>0</v>
      </c>
      <c r="C209" s="204"/>
      <c r="D209" s="189">
        <f>B209*C209</f>
        <v>0</v>
      </c>
      <c r="E209" s="204"/>
      <c r="F209" s="261"/>
      <c r="G209" s="220"/>
      <c r="H209" s="201"/>
      <c r="I209" s="202"/>
      <c r="J209" s="5"/>
      <c r="K209" s="181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0">
        <f>'Données projet'!A193</f>
        <v>35</v>
      </c>
      <c r="B210" s="191">
        <f>'Données projet'!D193</f>
        <v>0</v>
      </c>
      <c r="C210" s="204"/>
      <c r="D210" s="189">
        <f t="shared" ref="D210:D228" si="11">B210*C210</f>
        <v>0</v>
      </c>
      <c r="E210" s="204"/>
      <c r="F210" s="261"/>
      <c r="G210" s="220"/>
      <c r="H210" s="201"/>
      <c r="I210" s="202"/>
      <c r="J210" s="5"/>
      <c r="K210" s="181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0">
        <f>'Données projet'!A194</f>
        <v>40</v>
      </c>
      <c r="B211" s="191">
        <f>'Données projet'!D194</f>
        <v>0</v>
      </c>
      <c r="C211" s="204"/>
      <c r="D211" s="189">
        <f t="shared" si="11"/>
        <v>0</v>
      </c>
      <c r="E211" s="204"/>
      <c r="F211" s="261"/>
      <c r="G211" s="220"/>
      <c r="H211" s="201"/>
      <c r="I211" s="202"/>
      <c r="J211" s="5"/>
      <c r="K211" s="181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0">
        <f>'Données projet'!A195</f>
        <v>45</v>
      </c>
      <c r="B212" s="191">
        <f>'Données projet'!D195</f>
        <v>0</v>
      </c>
      <c r="C212" s="204"/>
      <c r="D212" s="189">
        <f t="shared" si="11"/>
        <v>0</v>
      </c>
      <c r="E212" s="204"/>
      <c r="F212" s="261"/>
      <c r="G212" s="220"/>
      <c r="H212" s="201"/>
      <c r="I212" s="202"/>
      <c r="J212" s="5"/>
      <c r="K212" s="181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0">
        <f>'Données projet'!A196</f>
        <v>51</v>
      </c>
      <c r="B213" s="191">
        <f>'Données projet'!D196</f>
        <v>100.30769230769231</v>
      </c>
      <c r="C213" s="204">
        <v>15</v>
      </c>
      <c r="D213" s="189">
        <f t="shared" si="11"/>
        <v>1504.6153846153845</v>
      </c>
      <c r="E213" s="204"/>
      <c r="F213" s="261"/>
      <c r="G213" s="220"/>
      <c r="H213" s="201"/>
      <c r="I213" s="202"/>
      <c r="J213" s="5"/>
      <c r="K213" s="181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0">
        <f>'Données projet'!A197</f>
        <v>57</v>
      </c>
      <c r="B214" s="191">
        <f>'Données projet'!D197</f>
        <v>0</v>
      </c>
      <c r="C214" s="204"/>
      <c r="D214" s="189">
        <f t="shared" si="11"/>
        <v>0</v>
      </c>
      <c r="E214" s="204"/>
      <c r="F214" s="261"/>
      <c r="G214" s="220"/>
      <c r="H214" s="201"/>
      <c r="I214" s="202"/>
      <c r="J214" s="5"/>
      <c r="K214" s="181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0">
        <f>'Données projet'!A198</f>
        <v>63</v>
      </c>
      <c r="B215" s="191">
        <f>'Données projet'!D198</f>
        <v>108.08461538461538</v>
      </c>
      <c r="C215" s="204">
        <v>20</v>
      </c>
      <c r="D215" s="189">
        <f t="shared" si="11"/>
        <v>2161.6923076923076</v>
      </c>
      <c r="E215" s="204"/>
      <c r="F215" s="261"/>
      <c r="G215" s="221"/>
      <c r="H215" s="201"/>
      <c r="I215" s="202"/>
      <c r="J215" s="5"/>
      <c r="K215" s="181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0">
        <f>'Données projet'!A199</f>
        <v>69</v>
      </c>
      <c r="B216" s="191">
        <f>'Données projet'!D199</f>
        <v>0</v>
      </c>
      <c r="C216" s="204"/>
      <c r="D216" s="189">
        <f t="shared" si="11"/>
        <v>0</v>
      </c>
      <c r="E216" s="204"/>
      <c r="F216" s="261"/>
      <c r="G216" s="221"/>
      <c r="H216" s="201"/>
      <c r="I216" s="202"/>
      <c r="J216" s="5"/>
      <c r="K216" s="181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0">
        <f>'Données projet'!A200</f>
        <v>75</v>
      </c>
      <c r="B217" s="191">
        <f>'Données projet'!D200</f>
        <v>85.361538461538458</v>
      </c>
      <c r="C217" s="204">
        <v>30</v>
      </c>
      <c r="D217" s="189">
        <f t="shared" si="11"/>
        <v>2560.8461538461538</v>
      </c>
      <c r="E217" s="204"/>
      <c r="F217" s="261"/>
      <c r="G217" s="221"/>
      <c r="H217" s="201"/>
      <c r="I217" s="202"/>
      <c r="J217" s="5"/>
      <c r="K217" s="181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0">
        <f>'Données projet'!A201</f>
        <v>81</v>
      </c>
      <c r="B218" s="191">
        <f>'Données projet'!D201</f>
        <v>0</v>
      </c>
      <c r="C218" s="204"/>
      <c r="D218" s="189">
        <f t="shared" si="11"/>
        <v>0</v>
      </c>
      <c r="E218" s="204"/>
      <c r="F218" s="261"/>
      <c r="G218" s="221"/>
      <c r="H218" s="201"/>
      <c r="I218" s="202"/>
      <c r="J218" s="5"/>
      <c r="K218" s="181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0">
        <f>'Données projet'!A202</f>
        <v>87</v>
      </c>
      <c r="B219" s="191">
        <f>'Données projet'!D202</f>
        <v>82.938461538461524</v>
      </c>
      <c r="C219" s="204">
        <v>40</v>
      </c>
      <c r="D219" s="189">
        <f t="shared" si="11"/>
        <v>3317.538461538461</v>
      </c>
      <c r="E219" s="204"/>
      <c r="F219" s="261"/>
      <c r="G219" s="221"/>
      <c r="H219" s="201"/>
      <c r="I219" s="202"/>
      <c r="J219" s="5"/>
      <c r="K219" s="181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0">
        <f>'Données projet'!A203</f>
        <v>93</v>
      </c>
      <c r="B220" s="191">
        <f>'Données projet'!D203</f>
        <v>0</v>
      </c>
      <c r="C220" s="204"/>
      <c r="D220" s="189">
        <f t="shared" si="11"/>
        <v>0</v>
      </c>
      <c r="E220" s="204"/>
      <c r="F220" s="261"/>
      <c r="G220" s="221"/>
      <c r="H220" s="5"/>
      <c r="I220" s="5"/>
      <c r="J220" s="5"/>
      <c r="K220" s="181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0">
        <f>'Données projet'!A204</f>
        <v>99</v>
      </c>
      <c r="B221" s="191">
        <f>'Données projet'!D204</f>
        <v>198.32307692307691</v>
      </c>
      <c r="C221" s="204">
        <v>50</v>
      </c>
      <c r="D221" s="189">
        <f t="shared" si="11"/>
        <v>9916.1538461538457</v>
      </c>
      <c r="E221" s="204"/>
      <c r="F221" s="261"/>
      <c r="G221" s="221"/>
      <c r="H221" s="5"/>
      <c r="I221" s="5"/>
      <c r="J221" s="5"/>
      <c r="K221" s="181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0">
        <f>'Données projet'!A205</f>
        <v>104</v>
      </c>
      <c r="B222" s="191">
        <f>'Données projet'!D205</f>
        <v>0</v>
      </c>
      <c r="C222" s="204"/>
      <c r="D222" s="189">
        <f t="shared" si="11"/>
        <v>0</v>
      </c>
      <c r="E222" s="204"/>
      <c r="F222" s="261"/>
      <c r="G222" s="221"/>
      <c r="H222" s="5"/>
      <c r="I222" s="5"/>
      <c r="J222" s="5"/>
      <c r="K222" s="181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0">
        <f>'Données projet'!A206</f>
        <v>109</v>
      </c>
      <c r="B223" s="191">
        <f>'Données projet'!D206</f>
        <v>256.09230769230771</v>
      </c>
      <c r="C223" s="204">
        <v>60</v>
      </c>
      <c r="D223" s="189">
        <f t="shared" si="11"/>
        <v>15365.538461538463</v>
      </c>
      <c r="E223" s="204"/>
      <c r="F223" s="261"/>
      <c r="G223" s="221"/>
      <c r="H223" s="5"/>
      <c r="I223" s="5"/>
      <c r="J223" s="5"/>
      <c r="K223" s="181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0">
        <f>'Données projet'!A207</f>
        <v>0</v>
      </c>
      <c r="B224" s="191">
        <f>'Données projet'!D207</f>
        <v>0</v>
      </c>
      <c r="C224" s="204"/>
      <c r="D224" s="189">
        <f t="shared" si="11"/>
        <v>0</v>
      </c>
      <c r="E224" s="204"/>
      <c r="F224" s="261"/>
      <c r="G224" s="221"/>
      <c r="H224" s="5"/>
      <c r="I224" s="5"/>
      <c r="J224" s="5"/>
      <c r="K224" s="181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0">
        <f>'Données projet'!A208</f>
        <v>0</v>
      </c>
      <c r="B225" s="191">
        <f>'Données projet'!D208</f>
        <v>0</v>
      </c>
      <c r="C225" s="204"/>
      <c r="D225" s="189">
        <f t="shared" si="11"/>
        <v>0</v>
      </c>
      <c r="E225" s="204"/>
      <c r="F225" s="261"/>
      <c r="G225" s="221"/>
      <c r="H225" s="5"/>
      <c r="I225" s="5"/>
      <c r="J225" s="5"/>
      <c r="K225" s="181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0">
        <f>'Données projet'!A209</f>
        <v>0</v>
      </c>
      <c r="B226" s="191">
        <f>'Données projet'!D209</f>
        <v>0</v>
      </c>
      <c r="C226" s="204"/>
      <c r="D226" s="189">
        <f t="shared" si="11"/>
        <v>0</v>
      </c>
      <c r="E226" s="204"/>
      <c r="F226" s="261"/>
      <c r="G226" s="221"/>
      <c r="H226" s="5"/>
      <c r="I226" s="5"/>
      <c r="J226" s="5"/>
      <c r="K226" s="181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0">
        <f>'Données projet'!A210</f>
        <v>0</v>
      </c>
      <c r="B227" s="191">
        <f>'Données projet'!D210</f>
        <v>0</v>
      </c>
      <c r="C227" s="204"/>
      <c r="D227" s="189">
        <f t="shared" si="11"/>
        <v>0</v>
      </c>
      <c r="E227" s="204"/>
      <c r="F227" s="261"/>
      <c r="G227" s="221"/>
      <c r="H227" s="5"/>
      <c r="I227" s="5"/>
      <c r="J227" s="5"/>
      <c r="K227" s="181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0">
        <f>'Données projet'!A211</f>
        <v>0</v>
      </c>
      <c r="B228" s="191">
        <f>'Données projet'!D211</f>
        <v>0</v>
      </c>
      <c r="C228" s="204"/>
      <c r="D228" s="189">
        <f t="shared" si="11"/>
        <v>0</v>
      </c>
      <c r="E228" s="204"/>
      <c r="F228" s="261"/>
      <c r="G228" s="221"/>
      <c r="H228" s="5"/>
      <c r="I228" s="5"/>
      <c r="J228" s="5"/>
      <c r="K228" s="181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59"/>
      <c r="G229" s="221"/>
      <c r="H229" s="5"/>
      <c r="I229" s="5"/>
      <c r="J229" s="5"/>
      <c r="K229" s="181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59"/>
      <c r="G230" s="221"/>
      <c r="H230" s="5"/>
      <c r="I230" s="5"/>
      <c r="J230" s="5"/>
      <c r="K230" s="181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4" t="str">
        <f>IF('Données projet'!$B$16="","",'Données projet'!$B$16)</f>
        <v>Aulne à feuilles en cœur</v>
      </c>
      <c r="C231" s="5"/>
      <c r="D231" s="5"/>
      <c r="E231" s="5"/>
      <c r="F231" s="259"/>
      <c r="G231" s="221"/>
      <c r="H231" s="5"/>
      <c r="I231" s="5"/>
      <c r="J231" s="5"/>
      <c r="K231" s="181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59"/>
      <c r="G232" s="221"/>
      <c r="H232" s="5"/>
      <c r="I232" s="5"/>
      <c r="J232" s="5"/>
      <c r="K232" s="181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5" t="s">
        <v>180</v>
      </c>
      <c r="B233" s="51" t="s">
        <v>256</v>
      </c>
      <c r="C233" s="51" t="s">
        <v>255</v>
      </c>
      <c r="D233" s="255" t="s">
        <v>252</v>
      </c>
      <c r="E233" s="255" t="s">
        <v>320</v>
      </c>
      <c r="F233" s="260"/>
      <c r="G233" s="221"/>
      <c r="H233" s="5"/>
      <c r="I233" s="5"/>
      <c r="J233" s="5"/>
      <c r="K233" s="181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08">
        <v>0</v>
      </c>
      <c r="B234" s="211" t="s">
        <v>132</v>
      </c>
      <c r="C234" s="210" t="s">
        <v>132</v>
      </c>
      <c r="D234" s="209" t="s">
        <v>132</v>
      </c>
      <c r="E234" s="204"/>
      <c r="F234" s="260"/>
      <c r="G234" s="221"/>
      <c r="H234" s="5"/>
      <c r="I234" s="5"/>
      <c r="J234" s="5"/>
      <c r="K234" s="181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08">
        <v>1</v>
      </c>
      <c r="B235" s="211" t="s">
        <v>132</v>
      </c>
      <c r="C235" s="210" t="s">
        <v>132</v>
      </c>
      <c r="D235" s="209" t="s">
        <v>132</v>
      </c>
      <c r="E235" s="204"/>
      <c r="F235" s="260"/>
      <c r="G235" s="219"/>
      <c r="H235" s="5"/>
      <c r="I235" s="5"/>
      <c r="J235" s="5"/>
      <c r="K235" s="181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08">
        <v>2</v>
      </c>
      <c r="B236" s="211" t="s">
        <v>132</v>
      </c>
      <c r="C236" s="210" t="s">
        <v>132</v>
      </c>
      <c r="D236" s="209" t="s">
        <v>132</v>
      </c>
      <c r="E236" s="204"/>
      <c r="F236" s="260"/>
      <c r="G236" s="219"/>
      <c r="H236" s="5"/>
      <c r="I236" s="5"/>
      <c r="J236" s="5"/>
      <c r="K236" s="181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08">
        <v>3</v>
      </c>
      <c r="B237" s="211" t="s">
        <v>132</v>
      </c>
      <c r="C237" s="210" t="s">
        <v>132</v>
      </c>
      <c r="D237" s="209" t="s">
        <v>132</v>
      </c>
      <c r="E237" s="204"/>
      <c r="F237" s="260"/>
      <c r="G237" s="219"/>
      <c r="H237" s="5"/>
      <c r="I237" s="5"/>
      <c r="J237" s="5"/>
      <c r="K237" s="181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08">
        <v>4</v>
      </c>
      <c r="B238" s="211" t="s">
        <v>132</v>
      </c>
      <c r="C238" s="210" t="s">
        <v>132</v>
      </c>
      <c r="D238" s="209" t="s">
        <v>132</v>
      </c>
      <c r="E238" s="204"/>
      <c r="F238" s="260"/>
      <c r="G238" s="219"/>
      <c r="H238" s="5"/>
      <c r="I238" s="5"/>
      <c r="J238" s="5"/>
      <c r="K238" s="181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08">
        <v>5</v>
      </c>
      <c r="B239" s="211" t="s">
        <v>132</v>
      </c>
      <c r="C239" s="210" t="s">
        <v>132</v>
      </c>
      <c r="D239" s="209" t="s">
        <v>132</v>
      </c>
      <c r="E239" s="204"/>
      <c r="F239" s="260"/>
      <c r="G239" s="220"/>
      <c r="H239" s="5"/>
      <c r="I239" s="5"/>
      <c r="J239" s="5"/>
      <c r="K239" s="181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0">
        <f>'Données projet'!A218</f>
        <v>15</v>
      </c>
      <c r="B240" s="191">
        <f>'Données projet'!D218</f>
        <v>0</v>
      </c>
      <c r="C240" s="204"/>
      <c r="D240" s="189">
        <f>B240*C240</f>
        <v>0</v>
      </c>
      <c r="E240" s="204"/>
      <c r="F240" s="261"/>
      <c r="G240" s="220"/>
      <c r="H240" s="5"/>
      <c r="I240" s="5"/>
      <c r="J240" s="5"/>
      <c r="K240" s="181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0">
        <f>'Données projet'!A219</f>
        <v>20</v>
      </c>
      <c r="B241" s="191">
        <f>'Données projet'!D219</f>
        <v>0</v>
      </c>
      <c r="C241" s="204"/>
      <c r="D241" s="189">
        <f t="shared" ref="D241:D259" si="12">B241*C241</f>
        <v>0</v>
      </c>
      <c r="E241" s="204"/>
      <c r="F241" s="261"/>
      <c r="G241" s="220"/>
      <c r="H241" s="5"/>
      <c r="I241" s="5"/>
      <c r="J241" s="5"/>
      <c r="K241" s="181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0">
        <f>'Données projet'!A220</f>
        <v>25</v>
      </c>
      <c r="B242" s="191">
        <f>'Données projet'!D220</f>
        <v>24</v>
      </c>
      <c r="C242" s="204">
        <v>10</v>
      </c>
      <c r="D242" s="189">
        <f t="shared" si="12"/>
        <v>240</v>
      </c>
      <c r="E242" s="204"/>
      <c r="F242" s="261"/>
      <c r="G242" s="220"/>
      <c r="H242" s="5"/>
      <c r="I242" s="5"/>
      <c r="J242" s="5"/>
      <c r="K242" s="181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0">
        <f>'Données projet'!A221</f>
        <v>30</v>
      </c>
      <c r="B243" s="191">
        <f>'Données projet'!D221</f>
        <v>0</v>
      </c>
      <c r="C243" s="204"/>
      <c r="D243" s="189">
        <f t="shared" si="12"/>
        <v>0</v>
      </c>
      <c r="E243" s="204"/>
      <c r="F243" s="261"/>
      <c r="G243" s="220"/>
      <c r="H243" s="5"/>
      <c r="I243" s="5"/>
      <c r="J243" s="5"/>
      <c r="K243" s="181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0">
        <f>'Données projet'!A222</f>
        <v>35</v>
      </c>
      <c r="B244" s="191">
        <f>'Données projet'!D222</f>
        <v>35</v>
      </c>
      <c r="C244" s="204">
        <v>10</v>
      </c>
      <c r="D244" s="189">
        <f t="shared" si="12"/>
        <v>350</v>
      </c>
      <c r="E244" s="204"/>
      <c r="F244" s="261"/>
      <c r="G244" s="220"/>
      <c r="H244" s="5"/>
      <c r="I244" s="5"/>
      <c r="J244" s="5"/>
      <c r="K244" s="181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0">
        <f>'Données projet'!A223</f>
        <v>40</v>
      </c>
      <c r="B245" s="191">
        <f>'Données projet'!D223</f>
        <v>0</v>
      </c>
      <c r="C245" s="204"/>
      <c r="D245" s="189">
        <f t="shared" si="12"/>
        <v>0</v>
      </c>
      <c r="E245" s="204"/>
      <c r="F245" s="261"/>
      <c r="G245" s="220"/>
      <c r="H245" s="5"/>
      <c r="I245" s="5"/>
      <c r="J245" s="5"/>
      <c r="K245" s="181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0">
        <f>'Données projet'!A224</f>
        <v>45</v>
      </c>
      <c r="B246" s="191">
        <f>'Données projet'!D224</f>
        <v>38</v>
      </c>
      <c r="C246" s="204">
        <v>10</v>
      </c>
      <c r="D246" s="189">
        <f t="shared" si="12"/>
        <v>380</v>
      </c>
      <c r="E246" s="204"/>
      <c r="F246" s="261"/>
      <c r="G246" s="221"/>
      <c r="H246" s="5"/>
      <c r="I246" s="5"/>
      <c r="J246" s="5"/>
      <c r="K246" s="181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0">
        <f>'Données projet'!A225</f>
        <v>50</v>
      </c>
      <c r="B247" s="191">
        <f>'Données projet'!D225</f>
        <v>0</v>
      </c>
      <c r="C247" s="204"/>
      <c r="D247" s="189">
        <f t="shared" si="12"/>
        <v>0</v>
      </c>
      <c r="E247" s="204"/>
      <c r="F247" s="261"/>
      <c r="G247" s="221"/>
      <c r="H247" s="5"/>
      <c r="I247" s="5"/>
      <c r="J247" s="5"/>
      <c r="K247" s="181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0">
        <f>'Données projet'!A226</f>
        <v>55</v>
      </c>
      <c r="B248" s="191">
        <f>'Données projet'!D226</f>
        <v>35</v>
      </c>
      <c r="C248" s="204">
        <v>15</v>
      </c>
      <c r="D248" s="189">
        <f t="shared" si="12"/>
        <v>525</v>
      </c>
      <c r="E248" s="204"/>
      <c r="F248" s="261"/>
      <c r="G248" s="221"/>
      <c r="H248" s="5"/>
      <c r="I248" s="5"/>
      <c r="J248" s="5"/>
      <c r="K248" s="181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0">
        <f>'Données projet'!A227</f>
        <v>60</v>
      </c>
      <c r="B249" s="191">
        <f>'Données projet'!D227</f>
        <v>0</v>
      </c>
      <c r="C249" s="204"/>
      <c r="D249" s="189">
        <f t="shared" si="12"/>
        <v>0</v>
      </c>
      <c r="E249" s="204"/>
      <c r="F249" s="261"/>
      <c r="G249" s="221"/>
      <c r="H249" s="5"/>
      <c r="I249" s="5"/>
      <c r="J249" s="5"/>
      <c r="K249" s="181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0">
        <f>'Données projet'!A228</f>
        <v>65</v>
      </c>
      <c r="B250" s="191">
        <f>'Données projet'!D228</f>
        <v>33</v>
      </c>
      <c r="C250" s="204">
        <v>20</v>
      </c>
      <c r="D250" s="189">
        <f t="shared" si="12"/>
        <v>660</v>
      </c>
      <c r="E250" s="204"/>
      <c r="F250" s="261"/>
      <c r="G250" s="221"/>
      <c r="H250" s="5"/>
      <c r="I250" s="5"/>
      <c r="J250" s="5"/>
      <c r="K250" s="181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0">
        <f>'Données projet'!A229</f>
        <v>70</v>
      </c>
      <c r="B251" s="191">
        <f>'Données projet'!D229</f>
        <v>0</v>
      </c>
      <c r="C251" s="204"/>
      <c r="D251" s="189">
        <f t="shared" si="12"/>
        <v>0</v>
      </c>
      <c r="E251" s="204"/>
      <c r="F251" s="261"/>
      <c r="G251" s="221"/>
      <c r="H251" s="5"/>
      <c r="I251" s="5"/>
      <c r="J251" s="5"/>
      <c r="K251" s="181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0">
        <f>'Données projet'!A230</f>
        <v>75</v>
      </c>
      <c r="B252" s="191">
        <f>'Données projet'!D230</f>
        <v>29</v>
      </c>
      <c r="C252" s="204">
        <v>25</v>
      </c>
      <c r="D252" s="189">
        <f t="shared" si="12"/>
        <v>725</v>
      </c>
      <c r="E252" s="204"/>
      <c r="F252" s="261"/>
      <c r="G252" s="221"/>
      <c r="H252" s="5"/>
      <c r="I252" s="5"/>
      <c r="J252" s="5"/>
      <c r="K252" s="181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0">
        <f>'Données projet'!A231</f>
        <v>80</v>
      </c>
      <c r="B253" s="191">
        <f>'Données projet'!D231</f>
        <v>0</v>
      </c>
      <c r="C253" s="204"/>
      <c r="D253" s="189">
        <f t="shared" si="12"/>
        <v>0</v>
      </c>
      <c r="E253" s="204"/>
      <c r="F253" s="261"/>
      <c r="G253" s="221"/>
      <c r="H253" s="5"/>
      <c r="I253" s="5"/>
      <c r="J253" s="5"/>
      <c r="K253" s="181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0">
        <f>'Données projet'!A232</f>
        <v>85</v>
      </c>
      <c r="B254" s="191">
        <f>'Données projet'!D232</f>
        <v>0</v>
      </c>
      <c r="C254" s="204"/>
      <c r="D254" s="189">
        <f t="shared" si="12"/>
        <v>0</v>
      </c>
      <c r="E254" s="204"/>
      <c r="F254" s="261"/>
      <c r="G254" s="221"/>
      <c r="H254" s="5"/>
      <c r="I254" s="5"/>
      <c r="J254" s="5"/>
      <c r="K254" s="181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0">
        <f>'Données projet'!A233</f>
        <v>90</v>
      </c>
      <c r="B255" s="191">
        <f>'Données projet'!D233</f>
        <v>207</v>
      </c>
      <c r="C255" s="204">
        <v>30</v>
      </c>
      <c r="D255" s="189">
        <f t="shared" si="12"/>
        <v>6210</v>
      </c>
      <c r="E255" s="204"/>
      <c r="F255" s="261"/>
      <c r="G255" s="221"/>
      <c r="H255" s="5"/>
      <c r="I255" s="5"/>
      <c r="J255" s="5"/>
      <c r="K255" s="181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0">
        <f>'Données projet'!A234</f>
        <v>0</v>
      </c>
      <c r="B256" s="191">
        <f>'Données projet'!D234</f>
        <v>0</v>
      </c>
      <c r="C256" s="204"/>
      <c r="D256" s="189">
        <f t="shared" si="12"/>
        <v>0</v>
      </c>
      <c r="E256" s="204"/>
      <c r="F256" s="261"/>
      <c r="G256" s="221"/>
      <c r="H256" s="5"/>
      <c r="I256" s="5"/>
      <c r="J256" s="5"/>
      <c r="K256" s="181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0">
        <f>'Données projet'!A235</f>
        <v>0</v>
      </c>
      <c r="B257" s="191">
        <f>'Données projet'!D235</f>
        <v>0</v>
      </c>
      <c r="C257" s="204"/>
      <c r="D257" s="189">
        <f t="shared" si="12"/>
        <v>0</v>
      </c>
      <c r="E257" s="204"/>
      <c r="F257" s="261"/>
      <c r="G257" s="221"/>
      <c r="H257" s="5"/>
      <c r="I257" s="5"/>
      <c r="J257" s="5"/>
      <c r="K257" s="181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0">
        <f>'Données projet'!A236</f>
        <v>0</v>
      </c>
      <c r="B258" s="191">
        <f>'Données projet'!D236</f>
        <v>0</v>
      </c>
      <c r="C258" s="204"/>
      <c r="D258" s="189">
        <f t="shared" si="12"/>
        <v>0</v>
      </c>
      <c r="E258" s="204"/>
      <c r="F258" s="261"/>
      <c r="G258" s="221"/>
      <c r="H258" s="5"/>
      <c r="I258" s="5"/>
      <c r="J258" s="5"/>
      <c r="K258" s="181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0">
        <f>'Données projet'!A237</f>
        <v>0</v>
      </c>
      <c r="B259" s="191">
        <f>'Données projet'!D237</f>
        <v>0</v>
      </c>
      <c r="C259" s="204"/>
      <c r="D259" s="189">
        <f t="shared" si="12"/>
        <v>0</v>
      </c>
      <c r="E259" s="204"/>
      <c r="F259" s="261"/>
      <c r="G259" s="221"/>
      <c r="H259" s="5"/>
      <c r="I259" s="5"/>
      <c r="J259" s="5"/>
      <c r="K259" s="181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59"/>
      <c r="G260" s="221"/>
      <c r="H260" s="5"/>
      <c r="I260" s="5"/>
      <c r="J260" s="5"/>
      <c r="K260" s="181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59"/>
      <c r="G261" s="221"/>
      <c r="H261" s="5"/>
      <c r="I261" s="5"/>
      <c r="J261" s="5"/>
      <c r="K261" s="181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4" t="str">
        <f>IF('Données projet'!$B$17="","",'Données projet'!$B$17)</f>
        <v>Pin de Salzmann</v>
      </c>
      <c r="C262" s="5"/>
      <c r="D262" s="5"/>
      <c r="E262" s="5"/>
      <c r="F262" s="259"/>
      <c r="G262" s="221"/>
      <c r="H262" s="5"/>
      <c r="I262" s="5"/>
      <c r="J262" s="5"/>
      <c r="K262" s="181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59"/>
      <c r="G263" s="221"/>
      <c r="H263" s="5"/>
      <c r="I263" s="5"/>
      <c r="J263" s="5"/>
      <c r="K263" s="181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5" t="s">
        <v>180</v>
      </c>
      <c r="B264" s="51" t="s">
        <v>256</v>
      </c>
      <c r="C264" s="51" t="s">
        <v>255</v>
      </c>
      <c r="D264" s="255" t="s">
        <v>252</v>
      </c>
      <c r="E264" s="255" t="s">
        <v>320</v>
      </c>
      <c r="F264" s="260"/>
      <c r="G264" s="221"/>
      <c r="H264" s="5"/>
      <c r="I264" s="5"/>
      <c r="J264" s="5"/>
      <c r="K264" s="181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08">
        <v>0</v>
      </c>
      <c r="B265" s="211" t="s">
        <v>132</v>
      </c>
      <c r="C265" s="210" t="s">
        <v>132</v>
      </c>
      <c r="D265" s="209" t="s">
        <v>132</v>
      </c>
      <c r="E265" s="204"/>
      <c r="F265" s="260"/>
      <c r="G265" s="221"/>
      <c r="H265" s="5"/>
      <c r="I265" s="5"/>
      <c r="J265" s="5"/>
      <c r="K265" s="181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08">
        <v>1</v>
      </c>
      <c r="B266" s="211" t="s">
        <v>132</v>
      </c>
      <c r="C266" s="210" t="s">
        <v>132</v>
      </c>
      <c r="D266" s="209" t="s">
        <v>132</v>
      </c>
      <c r="E266" s="204"/>
      <c r="F266" s="260"/>
      <c r="G266" s="219"/>
      <c r="H266" s="5"/>
      <c r="I266" s="5"/>
      <c r="J266" s="5"/>
      <c r="K266" s="181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08">
        <v>2</v>
      </c>
      <c r="B267" s="211" t="s">
        <v>132</v>
      </c>
      <c r="C267" s="210" t="s">
        <v>132</v>
      </c>
      <c r="D267" s="209" t="s">
        <v>132</v>
      </c>
      <c r="E267" s="204"/>
      <c r="F267" s="260"/>
      <c r="G267" s="219"/>
      <c r="H267" s="5"/>
      <c r="I267" s="5"/>
      <c r="J267" s="5"/>
      <c r="K267" s="181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08">
        <v>3</v>
      </c>
      <c r="B268" s="211" t="s">
        <v>132</v>
      </c>
      <c r="C268" s="210" t="s">
        <v>132</v>
      </c>
      <c r="D268" s="209" t="s">
        <v>132</v>
      </c>
      <c r="E268" s="204"/>
      <c r="F268" s="260"/>
      <c r="G268" s="219"/>
      <c r="H268" s="5"/>
      <c r="I268" s="5"/>
      <c r="J268" s="5"/>
      <c r="K268" s="181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08">
        <v>4</v>
      </c>
      <c r="B269" s="211" t="s">
        <v>132</v>
      </c>
      <c r="C269" s="210" t="s">
        <v>132</v>
      </c>
      <c r="D269" s="209" t="s">
        <v>132</v>
      </c>
      <c r="E269" s="204"/>
      <c r="F269" s="260"/>
      <c r="G269" s="219"/>
      <c r="H269" s="5"/>
      <c r="I269" s="5"/>
      <c r="J269" s="5"/>
      <c r="K269" s="181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08">
        <v>5</v>
      </c>
      <c r="B270" s="211" t="s">
        <v>132</v>
      </c>
      <c r="C270" s="210" t="s">
        <v>132</v>
      </c>
      <c r="D270" s="209" t="s">
        <v>132</v>
      </c>
      <c r="E270" s="204"/>
      <c r="F270" s="260"/>
      <c r="G270" s="220"/>
      <c r="H270" s="5"/>
      <c r="I270" s="5"/>
      <c r="J270" s="5"/>
      <c r="K270" s="181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0">
        <f>'Données projet'!A244</f>
        <v>29</v>
      </c>
      <c r="B271" s="191">
        <f>'Données projet'!D244</f>
        <v>52</v>
      </c>
      <c r="C271" s="204">
        <v>10</v>
      </c>
      <c r="D271" s="189">
        <f>B271*C271</f>
        <v>520</v>
      </c>
      <c r="E271" s="204"/>
      <c r="F271" s="261"/>
      <c r="G271" s="220"/>
      <c r="H271" s="5"/>
      <c r="I271" s="5"/>
      <c r="J271" s="5"/>
      <c r="K271" s="181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0">
        <f>'Données projet'!A245</f>
        <v>38</v>
      </c>
      <c r="B272" s="191">
        <f>'Données projet'!D245</f>
        <v>73</v>
      </c>
      <c r="C272" s="204">
        <v>10</v>
      </c>
      <c r="D272" s="189">
        <f t="shared" ref="D272:D290" si="13">B272*C272</f>
        <v>730</v>
      </c>
      <c r="E272" s="204"/>
      <c r="F272" s="261"/>
      <c r="G272" s="220"/>
      <c r="H272" s="5"/>
      <c r="I272" s="5"/>
      <c r="J272" s="5"/>
      <c r="K272" s="181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0">
        <f>'Données projet'!A246</f>
        <v>49</v>
      </c>
      <c r="B273" s="191">
        <f>'Données projet'!D246</f>
        <v>94</v>
      </c>
      <c r="C273" s="204">
        <v>15</v>
      </c>
      <c r="D273" s="189">
        <f t="shared" si="13"/>
        <v>1410</v>
      </c>
      <c r="E273" s="204"/>
      <c r="F273" s="261"/>
      <c r="G273" s="220"/>
      <c r="H273" s="5"/>
      <c r="I273" s="5"/>
      <c r="J273" s="5"/>
      <c r="K273" s="181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0">
        <f>'Données projet'!A247</f>
        <v>57</v>
      </c>
      <c r="B274" s="191">
        <f>'Données projet'!D247</f>
        <v>98</v>
      </c>
      <c r="C274" s="204">
        <v>20</v>
      </c>
      <c r="D274" s="189">
        <f t="shared" si="13"/>
        <v>1960</v>
      </c>
      <c r="E274" s="204"/>
      <c r="F274" s="261"/>
      <c r="G274" s="220"/>
      <c r="H274" s="5"/>
      <c r="I274" s="5"/>
      <c r="J274" s="5"/>
      <c r="K274" s="181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0">
        <f>'Données projet'!A248</f>
        <v>67</v>
      </c>
      <c r="B275" s="191">
        <f>'Données projet'!D248</f>
        <v>101</v>
      </c>
      <c r="C275" s="204">
        <v>25</v>
      </c>
      <c r="D275" s="189">
        <f t="shared" si="13"/>
        <v>2525</v>
      </c>
      <c r="E275" s="204"/>
      <c r="F275" s="261"/>
      <c r="G275" s="220"/>
      <c r="H275" s="5"/>
      <c r="I275" s="5"/>
      <c r="J275" s="5"/>
      <c r="K275" s="181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0">
        <f>'Données projet'!A249</f>
        <v>78</v>
      </c>
      <c r="B276" s="191">
        <f>'Données projet'!D249</f>
        <v>100</v>
      </c>
      <c r="C276" s="204">
        <v>30</v>
      </c>
      <c r="D276" s="189">
        <f t="shared" si="13"/>
        <v>3000</v>
      </c>
      <c r="E276" s="204"/>
      <c r="F276" s="261"/>
      <c r="G276" s="220"/>
      <c r="H276" s="5"/>
      <c r="I276" s="5"/>
      <c r="J276" s="5"/>
      <c r="K276" s="181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0">
        <f>'Données projet'!A250</f>
        <v>91</v>
      </c>
      <c r="B277" s="191">
        <f>'Données projet'!D250</f>
        <v>394</v>
      </c>
      <c r="C277" s="204">
        <v>40</v>
      </c>
      <c r="D277" s="189">
        <f t="shared" si="13"/>
        <v>15760</v>
      </c>
      <c r="E277" s="204"/>
      <c r="F277" s="261"/>
      <c r="G277" s="221"/>
      <c r="H277" s="5"/>
      <c r="I277" s="5"/>
      <c r="J277" s="5"/>
      <c r="K277" s="181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0">
        <f>'Données projet'!A251</f>
        <v>0</v>
      </c>
      <c r="B278" s="191">
        <f>'Données projet'!D251</f>
        <v>0</v>
      </c>
      <c r="C278" s="204"/>
      <c r="D278" s="189">
        <f t="shared" si="13"/>
        <v>0</v>
      </c>
      <c r="E278" s="204"/>
      <c r="F278" s="261"/>
      <c r="G278" s="221"/>
      <c r="H278" s="5"/>
      <c r="I278" s="5"/>
      <c r="J278" s="5"/>
      <c r="K278" s="181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0">
        <f>'Données projet'!A252</f>
        <v>0</v>
      </c>
      <c r="B279" s="191">
        <f>'Données projet'!D252</f>
        <v>0</v>
      </c>
      <c r="C279" s="204"/>
      <c r="D279" s="189">
        <f t="shared" si="13"/>
        <v>0</v>
      </c>
      <c r="E279" s="204"/>
      <c r="F279" s="261"/>
      <c r="G279" s="221"/>
      <c r="H279" s="5"/>
      <c r="I279" s="5"/>
      <c r="J279" s="5"/>
      <c r="K279" s="181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0">
        <f>'Données projet'!A253</f>
        <v>0</v>
      </c>
      <c r="B280" s="191">
        <f>'Données projet'!D253</f>
        <v>0</v>
      </c>
      <c r="C280" s="204"/>
      <c r="D280" s="189">
        <f t="shared" si="13"/>
        <v>0</v>
      </c>
      <c r="E280" s="204"/>
      <c r="F280" s="261"/>
      <c r="G280" s="221"/>
      <c r="H280" s="5"/>
      <c r="I280" s="5"/>
      <c r="J280" s="5"/>
      <c r="K280" s="181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0">
        <f>'Données projet'!A254</f>
        <v>0</v>
      </c>
      <c r="B281" s="191">
        <f>'Données projet'!D254</f>
        <v>0</v>
      </c>
      <c r="C281" s="204"/>
      <c r="D281" s="189">
        <f t="shared" si="13"/>
        <v>0</v>
      </c>
      <c r="E281" s="204"/>
      <c r="F281" s="261"/>
      <c r="G281" s="221"/>
      <c r="H281" s="5"/>
      <c r="I281" s="5"/>
      <c r="J281" s="5"/>
      <c r="K281" s="181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0">
        <f>'Données projet'!A255</f>
        <v>0</v>
      </c>
      <c r="B282" s="191">
        <f>'Données projet'!D255</f>
        <v>0</v>
      </c>
      <c r="C282" s="204"/>
      <c r="D282" s="189">
        <f t="shared" si="13"/>
        <v>0</v>
      </c>
      <c r="E282" s="204"/>
      <c r="F282" s="261"/>
      <c r="G282" s="221"/>
      <c r="H282" s="5"/>
      <c r="I282" s="5"/>
      <c r="J282" s="5"/>
      <c r="K282" s="181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0">
        <f>'Données projet'!A256</f>
        <v>0</v>
      </c>
      <c r="B283" s="191">
        <f>'Données projet'!D256</f>
        <v>0</v>
      </c>
      <c r="C283" s="204"/>
      <c r="D283" s="189">
        <f t="shared" si="13"/>
        <v>0</v>
      </c>
      <c r="E283" s="204"/>
      <c r="F283" s="261"/>
      <c r="G283" s="221"/>
      <c r="H283" s="5"/>
      <c r="I283" s="5"/>
      <c r="J283" s="5"/>
      <c r="K283" s="181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0">
        <f>'Données projet'!A257</f>
        <v>0</v>
      </c>
      <c r="B284" s="191">
        <f>'Données projet'!D257</f>
        <v>0</v>
      </c>
      <c r="C284" s="204"/>
      <c r="D284" s="189">
        <f t="shared" si="13"/>
        <v>0</v>
      </c>
      <c r="E284" s="204"/>
      <c r="F284" s="261"/>
      <c r="G284" s="221"/>
      <c r="H284" s="5"/>
      <c r="I284" s="5"/>
      <c r="J284" s="5"/>
      <c r="K284" s="181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0">
        <f>'Données projet'!A258</f>
        <v>0</v>
      </c>
      <c r="B285" s="191">
        <f>'Données projet'!D258</f>
        <v>0</v>
      </c>
      <c r="C285" s="204"/>
      <c r="D285" s="189">
        <f t="shared" si="13"/>
        <v>0</v>
      </c>
      <c r="E285" s="204"/>
      <c r="F285" s="261"/>
      <c r="G285" s="221"/>
      <c r="H285" s="5"/>
      <c r="I285" s="5"/>
      <c r="J285" s="5"/>
      <c r="K285" s="181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0">
        <f>'Données projet'!A259</f>
        <v>0</v>
      </c>
      <c r="B286" s="191">
        <f>'Données projet'!D259</f>
        <v>0</v>
      </c>
      <c r="C286" s="204"/>
      <c r="D286" s="189">
        <f t="shared" si="13"/>
        <v>0</v>
      </c>
      <c r="E286" s="204"/>
      <c r="F286" s="261"/>
      <c r="G286" s="221"/>
      <c r="H286" s="5"/>
      <c r="I286" s="5"/>
      <c r="J286" s="5"/>
      <c r="K286" s="181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0">
        <f>'Données projet'!A260</f>
        <v>0</v>
      </c>
      <c r="B287" s="191">
        <f>'Données projet'!D260</f>
        <v>0</v>
      </c>
      <c r="C287" s="204"/>
      <c r="D287" s="189">
        <f t="shared" si="13"/>
        <v>0</v>
      </c>
      <c r="E287" s="204"/>
      <c r="F287" s="261"/>
      <c r="G287" s="221"/>
      <c r="H287" s="5"/>
      <c r="I287" s="5"/>
      <c r="J287" s="5"/>
      <c r="K287" s="181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0">
        <f>'Données projet'!A261</f>
        <v>0</v>
      </c>
      <c r="B288" s="191">
        <f>'Données projet'!D261</f>
        <v>0</v>
      </c>
      <c r="C288" s="204"/>
      <c r="D288" s="189">
        <f t="shared" si="13"/>
        <v>0</v>
      </c>
      <c r="E288" s="204"/>
      <c r="F288" s="261"/>
      <c r="G288" s="221"/>
      <c r="H288" s="5"/>
      <c r="I288" s="5"/>
      <c r="J288" s="5"/>
      <c r="K288" s="181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0">
        <f>'Données projet'!A262</f>
        <v>0</v>
      </c>
      <c r="B289" s="191">
        <f>'Données projet'!D262</f>
        <v>0</v>
      </c>
      <c r="C289" s="204"/>
      <c r="D289" s="189">
        <f t="shared" si="13"/>
        <v>0</v>
      </c>
      <c r="E289" s="204"/>
      <c r="F289" s="261"/>
      <c r="G289" s="221"/>
      <c r="H289" s="5"/>
      <c r="I289" s="5"/>
      <c r="J289" s="5"/>
      <c r="K289" s="181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0">
        <f>'Données projet'!A263</f>
        <v>0</v>
      </c>
      <c r="B290" s="191">
        <f>'Données projet'!D263</f>
        <v>0</v>
      </c>
      <c r="C290" s="204"/>
      <c r="D290" s="189">
        <f t="shared" si="13"/>
        <v>0</v>
      </c>
      <c r="E290" s="204"/>
      <c r="F290" s="261"/>
      <c r="G290" s="221"/>
      <c r="H290" s="5"/>
      <c r="I290" s="5"/>
      <c r="J290" s="5"/>
      <c r="K290" s="181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59"/>
      <c r="G291" s="221"/>
      <c r="H291" s="5"/>
      <c r="I291" s="5"/>
      <c r="J291" s="5"/>
      <c r="K291" s="181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59"/>
      <c r="G292" s="221"/>
      <c r="H292" s="5"/>
      <c r="I292" s="5"/>
      <c r="J292" s="5"/>
      <c r="K292" s="181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4" t="str">
        <f>IF('Données projet'!$B$18="","",'Données projet'!$B$18)</f>
        <v>Tilleul</v>
      </c>
      <c r="C293" s="5"/>
      <c r="D293" s="5"/>
      <c r="E293" s="5"/>
      <c r="F293" s="259"/>
      <c r="G293" s="221"/>
      <c r="H293" s="5"/>
      <c r="I293" s="5"/>
      <c r="J293" s="5"/>
      <c r="K293" s="181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59"/>
      <c r="G294" s="221"/>
      <c r="H294" s="5"/>
      <c r="I294" s="5"/>
      <c r="J294" s="5"/>
      <c r="K294" s="181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5" t="s">
        <v>180</v>
      </c>
      <c r="B295" s="51" t="s">
        <v>256</v>
      </c>
      <c r="C295" s="51" t="s">
        <v>255</v>
      </c>
      <c r="D295" s="255" t="s">
        <v>252</v>
      </c>
      <c r="E295" s="255" t="s">
        <v>320</v>
      </c>
      <c r="F295" s="260"/>
      <c r="G295" s="221"/>
      <c r="H295" s="5"/>
      <c r="I295" s="5"/>
      <c r="J295" s="5"/>
      <c r="K295" s="181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08">
        <v>0</v>
      </c>
      <c r="B296" s="211" t="s">
        <v>132</v>
      </c>
      <c r="C296" s="210" t="s">
        <v>132</v>
      </c>
      <c r="D296" s="209" t="s">
        <v>132</v>
      </c>
      <c r="E296" s="204"/>
      <c r="F296" s="260"/>
      <c r="G296" s="221"/>
      <c r="H296" s="5"/>
      <c r="I296" s="5"/>
      <c r="J296" s="5"/>
      <c r="K296" s="181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08">
        <v>1</v>
      </c>
      <c r="B297" s="211" t="s">
        <v>132</v>
      </c>
      <c r="C297" s="210" t="s">
        <v>132</v>
      </c>
      <c r="D297" s="209" t="s">
        <v>132</v>
      </c>
      <c r="E297" s="204"/>
      <c r="F297" s="260"/>
      <c r="G297" s="219"/>
      <c r="H297" s="5"/>
      <c r="I297" s="5"/>
      <c r="J297" s="5"/>
      <c r="K297" s="181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08">
        <v>2</v>
      </c>
      <c r="B298" s="211" t="s">
        <v>132</v>
      </c>
      <c r="C298" s="210" t="s">
        <v>132</v>
      </c>
      <c r="D298" s="209" t="s">
        <v>132</v>
      </c>
      <c r="E298" s="204"/>
      <c r="F298" s="260"/>
      <c r="G298" s="219"/>
      <c r="H298" s="5"/>
      <c r="I298" s="5"/>
      <c r="J298" s="5"/>
      <c r="K298" s="181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08">
        <v>3</v>
      </c>
      <c r="B299" s="211" t="s">
        <v>132</v>
      </c>
      <c r="C299" s="210" t="s">
        <v>132</v>
      </c>
      <c r="D299" s="209" t="s">
        <v>132</v>
      </c>
      <c r="E299" s="204"/>
      <c r="F299" s="260"/>
      <c r="G299" s="219"/>
      <c r="H299" s="5"/>
      <c r="I299" s="5"/>
      <c r="J299" s="5"/>
      <c r="K299" s="181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08">
        <v>4</v>
      </c>
      <c r="B300" s="211" t="s">
        <v>132</v>
      </c>
      <c r="C300" s="210" t="s">
        <v>132</v>
      </c>
      <c r="D300" s="209" t="s">
        <v>132</v>
      </c>
      <c r="E300" s="204"/>
      <c r="F300" s="260"/>
      <c r="G300" s="219"/>
      <c r="H300" s="5"/>
      <c r="I300" s="5"/>
      <c r="J300" s="5"/>
      <c r="K300" s="181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08">
        <v>5</v>
      </c>
      <c r="B301" s="211" t="s">
        <v>132</v>
      </c>
      <c r="C301" s="210" t="s">
        <v>132</v>
      </c>
      <c r="D301" s="209" t="s">
        <v>132</v>
      </c>
      <c r="E301" s="204"/>
      <c r="F301" s="260"/>
      <c r="G301" s="220"/>
      <c r="H301" s="5"/>
      <c r="I301" s="5"/>
      <c r="J301" s="5"/>
      <c r="K301" s="181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0">
        <f>'Données projet'!A270</f>
        <v>20</v>
      </c>
      <c r="B302" s="191">
        <f>'Données projet'!D270</f>
        <v>0</v>
      </c>
      <c r="C302" s="202"/>
      <c r="D302" s="192">
        <f>B302*C302</f>
        <v>0</v>
      </c>
      <c r="E302" s="204"/>
      <c r="F302" s="262"/>
      <c r="G302" s="220"/>
      <c r="H302" s="5"/>
      <c r="I302" s="5"/>
      <c r="J302" s="5"/>
      <c r="K302" s="181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0">
        <f>'Données projet'!A271</f>
        <v>25</v>
      </c>
      <c r="B303" s="191">
        <f>'Données projet'!D271</f>
        <v>16.025641025641026</v>
      </c>
      <c r="C303" s="202">
        <v>10</v>
      </c>
      <c r="D303" s="192">
        <f t="shared" ref="D303:D321" si="14">B303*C303</f>
        <v>160.25641025641025</v>
      </c>
      <c r="E303" s="204"/>
      <c r="F303" s="262"/>
      <c r="G303" s="220"/>
      <c r="H303" s="5"/>
      <c r="I303" s="5"/>
      <c r="J303" s="5"/>
      <c r="K303" s="181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0">
        <f>'Données projet'!A272</f>
        <v>30</v>
      </c>
      <c r="B304" s="191">
        <f>'Données projet'!D272</f>
        <v>0</v>
      </c>
      <c r="C304" s="202"/>
      <c r="D304" s="192">
        <f t="shared" si="14"/>
        <v>0</v>
      </c>
      <c r="E304" s="204"/>
      <c r="F304" s="262"/>
      <c r="G304" s="220"/>
      <c r="H304" s="5"/>
      <c r="I304" s="5"/>
      <c r="J304" s="5"/>
      <c r="K304" s="181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0">
        <f>'Données projet'!A273</f>
        <v>35</v>
      </c>
      <c r="B305" s="191">
        <f>'Données projet'!D273</f>
        <v>21.153846153846153</v>
      </c>
      <c r="C305" s="202">
        <v>10</v>
      </c>
      <c r="D305" s="192">
        <f t="shared" si="14"/>
        <v>211.53846153846155</v>
      </c>
      <c r="E305" s="204"/>
      <c r="F305" s="262"/>
      <c r="G305" s="220"/>
      <c r="H305" s="5"/>
      <c r="I305" s="5"/>
      <c r="J305" s="5"/>
      <c r="K305" s="181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0">
        <f>'Données projet'!A274</f>
        <v>40</v>
      </c>
      <c r="B306" s="191">
        <f>'Données projet'!D274</f>
        <v>0</v>
      </c>
      <c r="C306" s="202"/>
      <c r="D306" s="192">
        <f t="shared" si="14"/>
        <v>0</v>
      </c>
      <c r="E306" s="204"/>
      <c r="F306" s="262"/>
      <c r="G306" s="220"/>
      <c r="H306" s="5"/>
      <c r="I306" s="5"/>
      <c r="J306" s="5"/>
      <c r="K306" s="181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0">
        <f>'Données projet'!A275</f>
        <v>45</v>
      </c>
      <c r="B307" s="191">
        <f>'Données projet'!D275</f>
        <v>21.794871794871796</v>
      </c>
      <c r="C307" s="202">
        <v>15</v>
      </c>
      <c r="D307" s="192">
        <f t="shared" si="14"/>
        <v>326.92307692307691</v>
      </c>
      <c r="E307" s="204"/>
      <c r="F307" s="262"/>
      <c r="G307" s="220"/>
      <c r="H307" s="5"/>
      <c r="I307" s="5"/>
      <c r="J307" s="5"/>
      <c r="K307" s="181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0">
        <f>'Données projet'!A276</f>
        <v>50</v>
      </c>
      <c r="B308" s="191">
        <f>'Données projet'!D276</f>
        <v>0</v>
      </c>
      <c r="C308" s="202"/>
      <c r="D308" s="192">
        <f t="shared" si="14"/>
        <v>0</v>
      </c>
      <c r="E308" s="204"/>
      <c r="F308" s="262"/>
      <c r="G308" s="216"/>
      <c r="H308" s="5"/>
      <c r="I308" s="5"/>
      <c r="J308" s="5"/>
      <c r="K308" s="181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0">
        <f>'Données projet'!A277</f>
        <v>55</v>
      </c>
      <c r="B309" s="191">
        <f>'Données projet'!D277</f>
        <v>21.794871794871796</v>
      </c>
      <c r="C309" s="202">
        <v>15</v>
      </c>
      <c r="D309" s="192">
        <f t="shared" si="14"/>
        <v>326.92307692307691</v>
      </c>
      <c r="E309" s="204"/>
      <c r="F309" s="262"/>
      <c r="G309" s="216"/>
      <c r="H309" s="5"/>
      <c r="I309" s="5"/>
      <c r="J309" s="5"/>
      <c r="K309" s="181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0">
        <f>'Données projet'!A278</f>
        <v>60</v>
      </c>
      <c r="B310" s="191">
        <f>'Données projet'!D278</f>
        <v>0</v>
      </c>
      <c r="C310" s="202"/>
      <c r="D310" s="192">
        <f t="shared" si="14"/>
        <v>0</v>
      </c>
      <c r="E310" s="204"/>
      <c r="F310" s="262"/>
      <c r="G310" s="216"/>
      <c r="H310" s="5"/>
      <c r="I310" s="5"/>
      <c r="J310" s="5"/>
      <c r="K310" s="181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0">
        <f>'Données projet'!A279</f>
        <v>65</v>
      </c>
      <c r="B311" s="191">
        <f>'Données projet'!D279</f>
        <v>21.153846153846153</v>
      </c>
      <c r="C311" s="202">
        <v>20</v>
      </c>
      <c r="D311" s="192">
        <f t="shared" si="14"/>
        <v>423.07692307692309</v>
      </c>
      <c r="E311" s="204"/>
      <c r="F311" s="262"/>
      <c r="G311" s="216"/>
      <c r="H311" s="5"/>
      <c r="I311" s="5"/>
      <c r="J311" s="5"/>
      <c r="K311" s="181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0">
        <f>'Données projet'!A280</f>
        <v>70</v>
      </c>
      <c r="B312" s="191">
        <f>'Données projet'!D280</f>
        <v>0</v>
      </c>
      <c r="C312" s="202"/>
      <c r="D312" s="192">
        <f t="shared" si="14"/>
        <v>0</v>
      </c>
      <c r="E312" s="204"/>
      <c r="F312" s="262"/>
      <c r="G312" s="216"/>
      <c r="H312" s="5"/>
      <c r="I312" s="5"/>
      <c r="J312" s="5"/>
      <c r="K312" s="181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0">
        <f>'Données projet'!A281</f>
        <v>75</v>
      </c>
      <c r="B313" s="191">
        <f>'Données projet'!D281</f>
        <v>19.23076923076923</v>
      </c>
      <c r="C313" s="202">
        <v>25</v>
      </c>
      <c r="D313" s="192">
        <f t="shared" si="14"/>
        <v>480.76923076923077</v>
      </c>
      <c r="E313" s="204"/>
      <c r="F313" s="262"/>
      <c r="G313" s="216"/>
      <c r="H313" s="5"/>
      <c r="I313" s="5"/>
      <c r="J313" s="5"/>
      <c r="K313" s="181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0">
        <f>'Données projet'!A282</f>
        <v>80</v>
      </c>
      <c r="B314" s="191">
        <f>'Données projet'!D282</f>
        <v>0</v>
      </c>
      <c r="C314" s="202"/>
      <c r="D314" s="192">
        <f t="shared" si="14"/>
        <v>0</v>
      </c>
      <c r="E314" s="204"/>
      <c r="F314" s="262"/>
      <c r="G314" s="216"/>
      <c r="H314" s="5"/>
      <c r="I314" s="5"/>
      <c r="J314" s="5"/>
      <c r="K314" s="181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0">
        <f>'Données projet'!A283</f>
        <v>85</v>
      </c>
      <c r="B315" s="191">
        <f>'Données projet'!D283</f>
        <v>17.948717948717949</v>
      </c>
      <c r="C315" s="202">
        <v>30</v>
      </c>
      <c r="D315" s="192">
        <f t="shared" si="14"/>
        <v>538.46153846153845</v>
      </c>
      <c r="E315" s="204"/>
      <c r="F315" s="262"/>
      <c r="G315" s="216"/>
      <c r="H315" s="5"/>
      <c r="I315" s="5"/>
      <c r="J315" s="5"/>
      <c r="K315" s="181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0">
        <f>'Données projet'!A284</f>
        <v>90</v>
      </c>
      <c r="B316" s="191">
        <f>'Données projet'!D284</f>
        <v>0</v>
      </c>
      <c r="C316" s="202"/>
      <c r="D316" s="192">
        <f t="shared" si="14"/>
        <v>0</v>
      </c>
      <c r="E316" s="204"/>
      <c r="F316" s="262"/>
      <c r="G316" s="216"/>
      <c r="H316" s="5"/>
      <c r="I316" s="5"/>
      <c r="J316" s="5"/>
      <c r="K316" s="181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0">
        <f>'Données projet'!A285</f>
        <v>95</v>
      </c>
      <c r="B317" s="191">
        <f>'Données projet'!D285</f>
        <v>16.666666666666668</v>
      </c>
      <c r="C317" s="202">
        <v>35</v>
      </c>
      <c r="D317" s="192">
        <f t="shared" si="14"/>
        <v>583.33333333333337</v>
      </c>
      <c r="E317" s="204"/>
      <c r="F317" s="262"/>
      <c r="G317" s="216"/>
      <c r="H317" s="5"/>
      <c r="I317" s="5"/>
      <c r="J317" s="5"/>
      <c r="K317" s="181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0">
        <f>'Données projet'!A286</f>
        <v>100</v>
      </c>
      <c r="B318" s="191">
        <f>'Données projet'!D286</f>
        <v>0</v>
      </c>
      <c r="C318" s="202"/>
      <c r="D318" s="192">
        <f t="shared" si="14"/>
        <v>0</v>
      </c>
      <c r="E318" s="204"/>
      <c r="F318" s="262"/>
      <c r="G318" s="216"/>
      <c r="H318" s="5"/>
      <c r="I318" s="5"/>
      <c r="J318" s="5"/>
      <c r="K318" s="181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0">
        <f>'Données projet'!A287</f>
        <v>105</v>
      </c>
      <c r="B319" s="191">
        <f>'Données projet'!D287</f>
        <v>0</v>
      </c>
      <c r="C319" s="202"/>
      <c r="D319" s="192">
        <f t="shared" si="14"/>
        <v>0</v>
      </c>
      <c r="E319" s="204"/>
      <c r="F319" s="262"/>
      <c r="G319" s="216"/>
      <c r="H319" s="5"/>
      <c r="I319" s="5"/>
      <c r="J319" s="5"/>
      <c r="K319" s="181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0">
        <f>'Données projet'!A288</f>
        <v>110</v>
      </c>
      <c r="B320" s="191">
        <f>'Données projet'!D288</f>
        <v>218.58974358974359</v>
      </c>
      <c r="C320" s="202">
        <v>40</v>
      </c>
      <c r="D320" s="192">
        <f t="shared" si="14"/>
        <v>8743.5897435897441</v>
      </c>
      <c r="E320" s="204"/>
      <c r="F320" s="262"/>
      <c r="G320" s="216"/>
      <c r="H320" s="5"/>
      <c r="I320" s="5"/>
      <c r="J320" s="5"/>
      <c r="K320" s="181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0">
        <f>'Données projet'!A289</f>
        <v>0</v>
      </c>
      <c r="B321" s="191">
        <f>'Données projet'!D289</f>
        <v>0</v>
      </c>
      <c r="C321" s="207"/>
      <c r="D321" s="192">
        <f t="shared" si="14"/>
        <v>0</v>
      </c>
      <c r="E321" s="204"/>
      <c r="F321" s="262"/>
      <c r="G321" s="216"/>
      <c r="H321" s="5"/>
      <c r="I321" s="5"/>
      <c r="J321" s="5"/>
      <c r="K321" s="181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6"/>
      <c r="H322" s="5"/>
      <c r="I322" s="5"/>
      <c r="J322" s="5"/>
      <c r="K322" s="181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6"/>
      <c r="H323" s="5"/>
      <c r="I323" s="5"/>
      <c r="J323" s="5"/>
      <c r="K323" s="181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6"/>
      <c r="H324" s="5"/>
      <c r="I324" s="5"/>
      <c r="J324" s="5"/>
      <c r="K324" s="181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6"/>
      <c r="H325" s="5"/>
      <c r="I325" s="5"/>
      <c r="J325" s="5"/>
      <c r="K325" s="181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6"/>
      <c r="H326" s="5"/>
      <c r="I326" s="5"/>
      <c r="J326" s="5"/>
      <c r="K326" s="181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6"/>
      <c r="H327" s="5"/>
      <c r="I327" s="5"/>
      <c r="J327" s="5"/>
      <c r="K327" s="181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29"/>
      <c r="G328" s="229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29"/>
      <c r="G329" s="229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29"/>
      <c r="G330" s="229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29"/>
      <c r="G331" s="229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29"/>
      <c r="G332" s="229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29"/>
      <c r="G333" s="229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29"/>
      <c r="G334" s="229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29"/>
      <c r="G335" s="229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29"/>
      <c r="G336" s="229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29"/>
      <c r="G337" s="229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29"/>
      <c r="G338" s="229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29"/>
      <c r="G339" s="229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29"/>
      <c r="G340" s="229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29"/>
      <c r="G341" s="229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29"/>
      <c r="G342" s="229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29"/>
      <c r="G343" s="229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29"/>
      <c r="G344" s="229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29"/>
      <c r="G345" s="229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29"/>
      <c r="G346" s="229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29"/>
      <c r="G347" s="229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29"/>
      <c r="G348" s="229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29"/>
      <c r="G349" s="229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29"/>
      <c r="G350" s="229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29"/>
      <c r="G351" s="229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29"/>
      <c r="G352" s="229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29"/>
      <c r="G353" s="229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29"/>
      <c r="G354" s="229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29"/>
      <c r="G355" s="229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29"/>
      <c r="G356" s="229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29"/>
      <c r="G357" s="229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29"/>
      <c r="G358" s="229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29"/>
      <c r="G359" s="229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29"/>
      <c r="G360" s="229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29"/>
      <c r="G361" s="229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29"/>
      <c r="G362" s="229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29"/>
      <c r="G363" s="229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29"/>
      <c r="G364" s="229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29"/>
      <c r="G365" s="229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29"/>
      <c r="G366" s="229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29"/>
      <c r="G367" s="229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29"/>
      <c r="G368" s="229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29"/>
      <c r="G369" s="229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29"/>
      <c r="G370" s="70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29"/>
      <c r="G371" s="70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29"/>
      <c r="G372" s="70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29"/>
      <c r="G373" s="70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29"/>
      <c r="G374" s="70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29"/>
      <c r="G375" s="70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29"/>
      <c r="G376" s="70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29"/>
      <c r="G377" s="70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29"/>
      <c r="G378" s="70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29"/>
      <c r="G379" s="70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29"/>
      <c r="G380" s="70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29"/>
      <c r="G381" s="70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29"/>
      <c r="G382" s="70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29"/>
      <c r="G383" s="70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29"/>
      <c r="G384" s="70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29"/>
      <c r="G385" s="70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29"/>
      <c r="G386" s="70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29"/>
      <c r="G387" s="70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29"/>
      <c r="G388" s="70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29"/>
      <c r="G389" s="70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29"/>
      <c r="G390" s="70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29"/>
      <c r="G391" s="70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29"/>
      <c r="G392" s="70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29"/>
      <c r="G393" s="70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29"/>
      <c r="G394" s="70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29"/>
      <c r="G395" s="70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0"/>
      <c r="G396" s="70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0"/>
      <c r="G397" s="70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0"/>
      <c r="G398" s="70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0"/>
      <c r="G399" s="70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0"/>
      <c r="G400" s="70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0"/>
      <c r="G401" s="70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0"/>
      <c r="G402" s="70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0"/>
      <c r="G403" s="70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0"/>
      <c r="G404" s="70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0"/>
      <c r="G405" s="70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0"/>
      <c r="G406" s="70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0"/>
      <c r="G407" s="70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0"/>
      <c r="G408" s="70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0"/>
      <c r="G409" s="70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0"/>
      <c r="G410" s="70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0"/>
      <c r="G411" s="70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0"/>
      <c r="G412" s="70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0"/>
      <c r="G413" s="70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0"/>
      <c r="G414" s="70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0"/>
      <c r="G415" s="70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0"/>
      <c r="G416" s="70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0"/>
      <c r="G417" s="70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0"/>
      <c r="G418" s="70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0"/>
      <c r="G419" s="70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0"/>
      <c r="G420" s="70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0"/>
      <c r="G421" s="70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0"/>
      <c r="G422" s="70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0"/>
      <c r="G423" s="70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0"/>
      <c r="G424" s="70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0"/>
      <c r="G425" s="70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0"/>
      <c r="G426" s="70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0"/>
      <c r="G427" s="70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0"/>
      <c r="G428" s="70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0"/>
      <c r="G429" s="70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0"/>
      <c r="G430" s="70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0"/>
      <c r="G431" s="70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0"/>
      <c r="G432" s="70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0"/>
      <c r="G433" s="70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0"/>
      <c r="G434" s="70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0"/>
      <c r="G435" s="70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0"/>
      <c r="G436" s="70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0"/>
      <c r="G437" s="70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0"/>
      <c r="G438" s="70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0"/>
      <c r="G439" s="70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0"/>
      <c r="G440" s="70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0"/>
      <c r="G441" s="70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Olivier GLEIZES</cp:lastModifiedBy>
  <dcterms:created xsi:type="dcterms:W3CDTF">2021-02-01T08:22:39Z</dcterms:created>
  <dcterms:modified xsi:type="dcterms:W3CDTF">2025-07-25T15:44:40Z</dcterms:modified>
</cp:coreProperties>
</file>