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MONTESQUIEU (82) - Cousy SWC E10\Dossier déposé le 05 02 2025\"/>
    </mc:Choice>
  </mc:AlternateContent>
  <xr:revisionPtr revIDLastSave="0" documentId="13_ncr:1_{4D83A0AA-0E17-4087-B93E-2B4AF1D0EAA7}" xr6:coauthVersionLast="36" xr6:coauthVersionMax="36" xr10:uidLastSave="{00000000-0000-0000-0000-000000000000}"/>
  <bookViews>
    <workbookView xWindow="0" yWindow="0" windowWidth="28800" windowHeight="12405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<sst xmlns="http://schemas.openxmlformats.org/spreadsheetml/2006/main" count="1167" uniqueCount="324">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</sst>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3.2772055557473752</c:v>
                </c:pt>
                <c:pt idx="2">
                  <c:v>4.0457904902186153</c:v>
                </c:pt>
                <c:pt idx="3">
                  <c:v>4.9953102214350711</c:v>
                </c:pt>
                <c:pt idx="4">
                  <c:v>6.1685105087095833</c:v>
                </c:pt>
                <c:pt idx="5">
                  <c:v>7.6182692095304176</c:v>
                </c:pt>
                <c:pt idx="6">
                  <c:v>9.41000526540852</c:v>
                </c:pt>
                <c:pt idx="7">
                  <c:v>11.624662056957776</c:v>
                </c:pt>
                <c:pt idx="8">
                  <c:v>14.362402426748547</c:v>
                </c:pt>
                <c:pt idx="9">
                  <c:v>17.747185565597121</c:v>
                </c:pt>
                <c:pt idx="10">
                  <c:v>21.932436754060742</c:v>
                </c:pt>
                <c:pt idx="11">
                  <c:v>27.10807154627074</c:v>
                </c:pt>
                <c:pt idx="12">
                  <c:v>33.509198736064555</c:v>
                </c:pt>
                <c:pt idx="13">
                  <c:v>41.426904282343997</c:v>
                </c:pt>
                <c:pt idx="14">
                  <c:v>51.221614924070018</c:v>
                </c:pt>
                <c:pt idx="15">
                  <c:v>63.339659993799863</c:v>
                </c:pt>
                <c:pt idx="16">
                  <c:v>78.333798538422712</c:v>
                </c:pt>
                <c:pt idx="17">
                  <c:v>96.888663223545379</c:v>
                </c:pt>
                <c:pt idx="18">
                  <c:v>119.85230125754379</c:v>
                </c:pt>
                <c:pt idx="19">
                  <c:v>148.27527642864169</c:v>
                </c:pt>
                <c:pt idx="20">
                  <c:v>183.4591485952582</c:v>
                </c:pt>
                <c:pt idx="21">
                  <c:v>165.3266136473124</c:v>
                </c:pt>
                <c:pt idx="22">
                  <c:v>185.72267256271468</c:v>
                </c:pt>
                <c:pt idx="23">
                  <c:v>206.06641331063727</c:v>
                </c:pt>
                <c:pt idx="24">
                  <c:v>226.3637288579913</c:v>
                </c:pt>
                <c:pt idx="25">
                  <c:v>246.61936765788826</c:v>
                </c:pt>
                <c:pt idx="26">
                  <c:v>207.42095417122448</c:v>
                </c:pt>
                <c:pt idx="27">
                  <c:v>226.81429113036631</c:v>
                </c:pt>
                <c:pt idx="28">
                  <c:v>246.16966587683132</c:v>
                </c:pt>
                <c:pt idx="29">
                  <c:v>265.49048283078872</c:v>
                </c:pt>
                <c:pt idx="30">
                  <c:v>284.77961020385533</c:v>
                </c:pt>
                <c:pt idx="31">
                  <c:v>243.92087619558598</c:v>
                </c:pt>
                <c:pt idx="32">
                  <c:v>261.4493018826617</c:v>
                </c:pt>
                <c:pt idx="33">
                  <c:v>278.95120235038326</c:v>
                </c:pt>
                <c:pt idx="34">
                  <c:v>296.428475828584</c:v>
                </c:pt>
                <c:pt idx="35">
                  <c:v>313.88277839914394</c:v>
                </c:pt>
                <c:pt idx="36">
                  <c:v>274.01733956485458</c:v>
                </c:pt>
                <c:pt idx="37">
                  <c:v>290.1573073928044</c:v>
                </c:pt>
                <c:pt idx="38">
                  <c:v>306.27721929589393</c:v>
                </c:pt>
                <c:pt idx="39">
                  <c:v>322.3782793635956</c:v>
                </c:pt>
                <c:pt idx="40">
                  <c:v>338.46156158408763</c:v>
                </c:pt>
                <c:pt idx="41">
                  <c:v>301.3537436073118</c:v>
                </c:pt>
                <c:pt idx="42">
                  <c:v>315.6717237677239</c:v>
                </c:pt>
                <c:pt idx="43">
                  <c:v>329.97531670142172</c:v>
                </c:pt>
                <c:pt idx="44">
                  <c:v>344.26523391936007</c:v>
                </c:pt>
                <c:pt idx="45">
                  <c:v>358.54212303817758</c:v>
                </c:pt>
                <c:pt idx="46">
                  <c:v>324.61310870324411</c:v>
                </c:pt>
                <c:pt idx="47">
                  <c:v>337.56849546423069</c:v>
                </c:pt>
                <c:pt idx="48">
                  <c:v>350.51293987860367</c:v>
                </c:pt>
                <c:pt idx="49">
                  <c:v>363.4469030391146</c:v>
                </c:pt>
                <c:pt idx="50">
                  <c:v>376.37081053726519</c:v>
                </c:pt>
                <c:pt idx="51">
                  <c:v>345.60423615897912</c:v>
                </c:pt>
                <c:pt idx="52">
                  <c:v>357.20420176706028</c:v>
                </c:pt>
                <c:pt idx="53">
                  <c:v>368.79592322817575</c:v>
                </c:pt>
                <c:pt idx="54">
                  <c:v>380.37969625274769</c:v>
                </c:pt>
                <c:pt idx="55">
                  <c:v>391.9557970663318</c:v>
                </c:pt>
                <c:pt idx="56">
                  <c:v>361.66351520952873</c:v>
                </c:pt>
                <c:pt idx="57">
                  <c:v>371.46979674286735</c:v>
                </c:pt>
                <c:pt idx="58">
                  <c:v>381.27043453305487</c:v>
                </c:pt>
                <c:pt idx="59">
                  <c:v>391.06559417232603</c:v>
                </c:pt>
                <c:pt idx="60">
                  <c:v>400.85543227720677</c:v>
                </c:pt>
                <c:pt idx="61">
                  <c:v>374.14325053090562</c:v>
                </c:pt>
                <c:pt idx="62">
                  <c:v>383.05177541071225</c:v>
                </c:pt>
                <c:pt idx="63">
                  <c:v>391.9557970663318</c:v>
                </c:pt>
                <c:pt idx="64">
                  <c:v>400.85543227720677</c:v>
                </c:pt>
                <c:pt idx="65">
                  <c:v>409.75079221165856</c:v>
                </c:pt>
                <c:pt idx="66">
                  <c:v>386.16868913120521</c:v>
                </c:pt>
                <c:pt idx="67">
                  <c:v>393.73607138846893</c:v>
                </c:pt>
                <c:pt idx="68">
                  <c:v>401.30030091052248</c:v>
                </c:pt>
                <c:pt idx="69">
                  <c:v>408.86144554693209</c:v>
                </c:pt>
                <c:pt idx="70">
                  <c:v>416.41957043134624</c:v>
                </c:pt>
                <c:pt idx="71">
                  <c:v>396.40615590256056</c:v>
                </c:pt>
                <c:pt idx="72">
                  <c:v>403.07966884306734</c:v>
                </c:pt>
                <c:pt idx="73">
                  <c:v>409.75079221165856</c:v>
                </c:pt>
                <c:pt idx="74">
                  <c:v>416.41957043134624</c:v>
                </c:pt>
                <c:pt idx="75">
                  <c:v>423.08604638514629</c:v>
                </c:pt>
                <c:pt idx="76">
                  <c:v>404.41408323817558</c:v>
                </c:pt>
                <c:pt idx="77">
                  <c:v>410.19544990407525</c:v>
                </c:pt>
                <c:pt idx="78">
                  <c:v>415.97505730912513</c:v>
                </c:pt>
                <c:pt idx="79">
                  <c:v>421.7529333670148</c:v>
                </c:pt>
                <c:pt idx="80">
                  <c:v>427.52910516355479</c:v>
                </c:pt>
                <c:pt idx="81">
                  <c:v>412.8631779109503</c:v>
                </c:pt>
                <c:pt idx="82">
                  <c:v>418.1975207272435</c:v>
                </c:pt>
                <c:pt idx="83">
                  <c:v>423.53039727970076</c:v>
                </c:pt>
                <c:pt idx="84">
                  <c:v>428.86182865275651</c:v>
                </c:pt>
                <c:pt idx="85">
                  <c:v>434.19183536337596</c:v>
                </c:pt>
                <c:pt idx="86">
                  <c:v>420.86414095510605</c:v>
                </c:pt>
                <c:pt idx="87">
                  <c:v>425.30770062156694</c:v>
                </c:pt>
                <c:pt idx="88">
                  <c:v>429.75026149342534</c:v>
                </c:pt>
                <c:pt idx="89">
                  <c:v>434.19183536337596</c:v>
                </c:pt>
                <c:pt idx="90">
                  <c:v>438.6324337629174</c:v>
                </c:pt>
                <c:pt idx="91">
                  <c:v>1.7551237327173916E-12</c:v>
                </c:pt>
                <c:pt idx="92">
                  <c:v>1.7551237327173916E-12</c:v>
                </c:pt>
                <c:pt idx="93">
                  <c:v>1.7551237327173916E-12</c:v>
                </c:pt>
                <c:pt idx="94">
                  <c:v>1.7551237327173916E-12</c:v>
                </c:pt>
                <c:pt idx="95">
                  <c:v>1.7551237327173916E-12</c:v>
                </c:pt>
                <c:pt idx="96">
                  <c:v>1.7551237327173916E-12</c:v>
                </c:pt>
                <c:pt idx="97">
                  <c:v>1.7551237327173916E-12</c:v>
                </c:pt>
                <c:pt idx="98">
                  <c:v>1.7551237327173916E-12</c:v>
                </c:pt>
                <c:pt idx="99">
                  <c:v>1.7551237327173916E-12</c:v>
                </c:pt>
                <c:pt idx="100">
                  <c:v>1.7551237327173916E-12</c:v>
                </c:pt>
                <c:pt idx="101">
                  <c:v>1.7551237327173916E-12</c:v>
                </c:pt>
                <c:pt idx="102">
                  <c:v>1.7551237327173916E-12</c:v>
                </c:pt>
                <c:pt idx="103">
                  <c:v>1.7551237327173916E-12</c:v>
                </c:pt>
                <c:pt idx="104">
                  <c:v>1.7551237327173916E-12</c:v>
                </c:pt>
                <c:pt idx="105">
                  <c:v>1.7551237327173916E-12</c:v>
                </c:pt>
                <c:pt idx="106">
                  <c:v>1.7551237327173916E-12</c:v>
                </c:pt>
                <c:pt idx="107">
                  <c:v>1.7551237327173916E-12</c:v>
                </c:pt>
                <c:pt idx="108">
                  <c:v>1.7551237327173916E-12</c:v>
                </c:pt>
                <c:pt idx="109">
                  <c:v>1.7551237327173916E-12</c:v>
                </c:pt>
                <c:pt idx="110">
                  <c:v>1.7551237327173916E-12</c:v>
                </c:pt>
                <c:pt idx="111">
                  <c:v>1.7551237327173916E-12</c:v>
                </c:pt>
                <c:pt idx="112">
                  <c:v>1.7551237327173916E-12</c:v>
                </c:pt>
                <c:pt idx="113">
                  <c:v>1.7551237327173916E-12</c:v>
                </c:pt>
                <c:pt idx="114">
                  <c:v>1.7551237327173916E-12</c:v>
                </c:pt>
                <c:pt idx="115">
                  <c:v>1.7551237327173916E-12</c:v>
                </c:pt>
                <c:pt idx="116">
                  <c:v>1.7551237327173916E-12</c:v>
                </c:pt>
                <c:pt idx="117">
                  <c:v>1.7551237327173916E-12</c:v>
                </c:pt>
                <c:pt idx="118">
                  <c:v>1.7551237327173916E-12</c:v>
                </c:pt>
                <c:pt idx="119">
                  <c:v>1.7551237327173916E-12</c:v>
                </c:pt>
                <c:pt idx="120">
                  <c:v>1.7551237327173916E-12</c:v>
                </c:pt>
                <c:pt idx="121">
                  <c:v>1.7551237327173916E-12</c:v>
                </c:pt>
                <c:pt idx="122">
                  <c:v>1.7551237327173916E-12</c:v>
                </c:pt>
                <c:pt idx="123">
                  <c:v>1.7551237327173916E-12</c:v>
                </c:pt>
                <c:pt idx="124">
                  <c:v>1.7551237327173916E-12</c:v>
                </c:pt>
                <c:pt idx="125">
                  <c:v>1.7551237327173916E-12</c:v>
                </c:pt>
                <c:pt idx="126">
                  <c:v>1.7551237327173916E-12</c:v>
                </c:pt>
                <c:pt idx="127">
                  <c:v>1.7551237327173916E-12</c:v>
                </c:pt>
                <c:pt idx="128">
                  <c:v>1.7551237327173916E-12</c:v>
                </c:pt>
                <c:pt idx="129">
                  <c:v>1.7551237327173916E-12</c:v>
                </c:pt>
                <c:pt idx="130">
                  <c:v>1.7551237327173916E-12</c:v>
                </c:pt>
                <c:pt idx="131">
                  <c:v>1.7551237327173916E-12</c:v>
                </c:pt>
                <c:pt idx="132">
                  <c:v>1.7551237327173916E-12</c:v>
                </c:pt>
                <c:pt idx="133">
                  <c:v>1.7551237327173916E-12</c:v>
                </c:pt>
                <c:pt idx="134">
                  <c:v>1.7551237327173916E-12</c:v>
                </c:pt>
                <c:pt idx="135">
                  <c:v>1.7551237327173916E-12</c:v>
                </c:pt>
                <c:pt idx="136">
                  <c:v>1.7551237327173916E-12</c:v>
                </c:pt>
                <c:pt idx="137">
                  <c:v>1.7551237327173916E-12</c:v>
                </c:pt>
                <c:pt idx="138">
                  <c:v>1.7551237327173916E-12</c:v>
                </c:pt>
                <c:pt idx="139">
                  <c:v>1.7551237327173916E-12</c:v>
                </c:pt>
                <c:pt idx="140">
                  <c:v>1.7551237327173916E-12</c:v>
                </c:pt>
                <c:pt idx="141">
                  <c:v>1.7551237327173916E-12</c:v>
                </c:pt>
                <c:pt idx="142">
                  <c:v>1.7551237327173916E-12</c:v>
                </c:pt>
                <c:pt idx="143">
                  <c:v>1.7551237327173916E-12</c:v>
                </c:pt>
                <c:pt idx="144">
                  <c:v>1.7551237327173916E-12</c:v>
                </c:pt>
                <c:pt idx="145">
                  <c:v>1.7551237327173916E-12</c:v>
                </c:pt>
                <c:pt idx="146">
                  <c:v>1.7551237327173916E-12</c:v>
                </c:pt>
                <c:pt idx="147">
                  <c:v>1.7551237327173916E-12</c:v>
                </c:pt>
                <c:pt idx="148">
                  <c:v>1.7551237327173916E-12</c:v>
                </c:pt>
                <c:pt idx="149">
                  <c:v>1.7551237327173916E-12</c:v>
                </c:pt>
                <c:pt idx="150">
                  <c:v>1.7551237327173916E-12</c:v>
                </c:pt>
                <c:pt idx="151">
                  <c:v>1.7551237327173916E-12</c:v>
                </c:pt>
                <c:pt idx="152">
                  <c:v>1.7551237327173916E-12</c:v>
                </c:pt>
                <c:pt idx="153">
                  <c:v>1.7551237327173916E-12</c:v>
                </c:pt>
                <c:pt idx="154">
                  <c:v>1.7551237327173916E-12</c:v>
                </c:pt>
                <c:pt idx="155">
                  <c:v>1.7551237327173916E-12</c:v>
                </c:pt>
                <c:pt idx="156">
                  <c:v>1.7551237327173916E-12</c:v>
                </c:pt>
                <c:pt idx="157">
                  <c:v>1.7551237327173916E-12</c:v>
                </c:pt>
                <c:pt idx="158">
                  <c:v>1.7551237327173916E-12</c:v>
                </c:pt>
                <c:pt idx="159">
                  <c:v>1.7551237327173916E-12</c:v>
                </c:pt>
                <c:pt idx="160">
                  <c:v>1.7551237327173916E-12</c:v>
                </c:pt>
                <c:pt idx="161">
                  <c:v>1.7551237327173916E-12</c:v>
                </c:pt>
                <c:pt idx="162">
                  <c:v>1.7551237327173916E-12</c:v>
                </c:pt>
                <c:pt idx="163">
                  <c:v>1.7551237327173916E-12</c:v>
                </c:pt>
                <c:pt idx="164">
                  <c:v>1.7551237327173916E-12</c:v>
                </c:pt>
                <c:pt idx="165">
                  <c:v>1.7551237327173916E-12</c:v>
                </c:pt>
                <c:pt idx="166">
                  <c:v>1.7551237327173916E-12</c:v>
                </c:pt>
                <c:pt idx="167">
                  <c:v>1.7551237327173916E-12</c:v>
                </c:pt>
                <c:pt idx="168">
                  <c:v>1.7551237327173916E-12</c:v>
                </c:pt>
                <c:pt idx="169">
                  <c:v>1.7551237327173916E-12</c:v>
                </c:pt>
                <c:pt idx="170">
                  <c:v>1.7551237327173916E-12</c:v>
                </c:pt>
                <c:pt idx="171">
                  <c:v>1.7551237327173916E-12</c:v>
                </c:pt>
                <c:pt idx="172">
                  <c:v>1.7551237327173916E-12</c:v>
                </c:pt>
                <c:pt idx="173">
                  <c:v>1.7551237327173916E-12</c:v>
                </c:pt>
                <c:pt idx="174">
                  <c:v>1.7551237327173916E-12</c:v>
                </c:pt>
                <c:pt idx="175">
                  <c:v>1.7551237327173916E-12</c:v>
                </c:pt>
                <c:pt idx="176">
                  <c:v>1.7551237327173916E-12</c:v>
                </c:pt>
                <c:pt idx="177">
                  <c:v>1.7551237327173916E-12</c:v>
                </c:pt>
                <c:pt idx="178">
                  <c:v>1.7551237327173916E-12</c:v>
                </c:pt>
                <c:pt idx="179">
                  <c:v>1.7551237327173916E-12</c:v>
                </c:pt>
                <c:pt idx="180">
                  <c:v>1.7551237327173916E-12</c:v>
                </c:pt>
                <c:pt idx="181">
                  <c:v>1.7551237327173916E-12</c:v>
                </c:pt>
                <c:pt idx="182">
                  <c:v>1.7551237327173916E-12</c:v>
                </c:pt>
                <c:pt idx="183">
                  <c:v>1.7551237327173916E-12</c:v>
                </c:pt>
                <c:pt idx="184">
                  <c:v>1.7551237327173916E-12</c:v>
                </c:pt>
                <c:pt idx="185">
                  <c:v>1.7551237327173916E-12</c:v>
                </c:pt>
                <c:pt idx="186">
                  <c:v>1.7551237327173916E-12</c:v>
                </c:pt>
                <c:pt idx="187">
                  <c:v>1.7551237327173916E-12</c:v>
                </c:pt>
                <c:pt idx="188">
                  <c:v>1.7551237327173916E-12</c:v>
                </c:pt>
                <c:pt idx="189">
                  <c:v>1.7551237327173916E-12</c:v>
                </c:pt>
                <c:pt idx="190">
                  <c:v>1.7551237327173916E-12</c:v>
                </c:pt>
                <c:pt idx="191">
                  <c:v>1.7551237327173916E-12</c:v>
                </c:pt>
                <c:pt idx="192">
                  <c:v>1.7551237327173916E-12</c:v>
                </c:pt>
                <c:pt idx="193">
                  <c:v>1.7551237327173916E-12</c:v>
                </c:pt>
                <c:pt idx="194">
                  <c:v>1.7551237327173916E-12</c:v>
                </c:pt>
                <c:pt idx="195">
                  <c:v>1.7551237327173916E-12</c:v>
                </c:pt>
                <c:pt idx="196">
                  <c:v>1.7551237327173916E-12</c:v>
                </c:pt>
                <c:pt idx="197">
                  <c:v>1.7551237327173916E-12</c:v>
                </c:pt>
                <c:pt idx="198">
                  <c:v>1.7551237327173916E-12</c:v>
                </c:pt>
                <c:pt idx="199">
                  <c:v>1.7551237327173916E-12</c:v>
                </c:pt>
                <c:pt idx="200">
                  <c:v>1.7551237327173916E-12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58.88887876919231</c:v>
                </c:pt>
                <c:pt idx="7">
                  <c:v>75.762576017329408</c:v>
                </c:pt>
                <c:pt idx="8">
                  <c:v>92.540042131168903</c:v>
                </c:pt>
                <c:pt idx="9">
                  <c:v>109.24128540474889</c:v>
                </c:pt>
                <c:pt idx="10">
                  <c:v>125.87964006712114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B9" sqref="B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</v>
      </c>
      <c r="C9" s="35">
        <v>0.41</v>
      </c>
      <c r="D9" s="36">
        <f t="shared" ref="D9:D18" si="0">C9*$C$5</f>
        <v>1.2709999999999999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0.59</v>
      </c>
      <c r="D10" s="36">
        <f t="shared" si="0"/>
        <v>1.829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3.0999999999999996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chevelu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79</v>
      </c>
      <c r="C36" s="63">
        <v>1</v>
      </c>
      <c r="D36" s="63">
        <v>17</v>
      </c>
      <c r="E36" s="54"/>
      <c r="F36" s="54"/>
      <c r="G36" s="54"/>
      <c r="H36" s="54">
        <v>1</v>
      </c>
      <c r="I36" s="52">
        <f>IFERROR(B36/A36,"")</f>
        <v>3.95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107</v>
      </c>
      <c r="C37" s="63">
        <v>2</v>
      </c>
      <c r="D37" s="63">
        <v>26</v>
      </c>
      <c r="E37" s="54"/>
      <c r="F37" s="54"/>
      <c r="G37" s="54"/>
      <c r="H37" s="54">
        <v>1</v>
      </c>
      <c r="I37" s="56">
        <f t="shared" ref="I37:I55" si="1">IF(A37&lt;&gt;0,(B37-(B36-D36))/(A37-A36),"")</f>
        <v>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124</v>
      </c>
      <c r="C38" s="63">
        <v>3</v>
      </c>
      <c r="D38" s="63">
        <v>26</v>
      </c>
      <c r="E38" s="54"/>
      <c r="F38" s="54"/>
      <c r="G38" s="54"/>
      <c r="H38" s="54">
        <v>1</v>
      </c>
      <c r="I38" s="56">
        <f t="shared" si="1"/>
        <v>8.6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137</v>
      </c>
      <c r="C39" s="63">
        <v>4</v>
      </c>
      <c r="D39" s="63">
        <v>25</v>
      </c>
      <c r="E39" s="54"/>
      <c r="F39" s="54"/>
      <c r="G39" s="54"/>
      <c r="H39" s="54"/>
      <c r="I39" s="52">
        <f t="shared" si="1"/>
        <v>7.8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148</v>
      </c>
      <c r="C40" s="63">
        <v>5</v>
      </c>
      <c r="D40" s="63">
        <v>23</v>
      </c>
      <c r="E40" s="54"/>
      <c r="F40" s="54"/>
      <c r="G40" s="54"/>
      <c r="H40" s="54"/>
      <c r="I40" s="52">
        <f t="shared" si="1"/>
        <v>7.2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157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6.4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165</v>
      </c>
      <c r="C42" s="63">
        <v>7</v>
      </c>
      <c r="D42" s="63">
        <v>19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172</v>
      </c>
      <c r="C43" s="63">
        <v>8</v>
      </c>
      <c r="D43" s="63">
        <v>18</v>
      </c>
      <c r="E43" s="54"/>
      <c r="F43" s="54"/>
      <c r="G43" s="54"/>
      <c r="H43" s="54"/>
      <c r="I43" s="52">
        <f t="shared" si="1"/>
        <v>5.2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176</v>
      </c>
      <c r="C44" s="63">
        <v>9</v>
      </c>
      <c r="D44" s="63">
        <v>16</v>
      </c>
      <c r="E44" s="54"/>
      <c r="F44" s="54"/>
      <c r="G44" s="54"/>
      <c r="H44" s="54"/>
      <c r="I44" s="52">
        <f t="shared" si="1"/>
        <v>4.4000000000000004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180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183</v>
      </c>
      <c r="C46" s="63">
        <v>11</v>
      </c>
      <c r="D46" s="63">
        <v>12</v>
      </c>
      <c r="E46" s="54"/>
      <c r="F46" s="54"/>
      <c r="G46" s="54"/>
      <c r="H46" s="54"/>
      <c r="I46" s="52">
        <f t="shared" si="1"/>
        <v>3.4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186</v>
      </c>
      <c r="C47" s="63">
        <v>12</v>
      </c>
      <c r="D47" s="63">
        <v>11</v>
      </c>
      <c r="E47" s="54"/>
      <c r="F47" s="54"/>
      <c r="G47" s="54"/>
      <c r="H47" s="54"/>
      <c r="I47" s="52">
        <f t="shared" si="1"/>
        <v>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188</v>
      </c>
      <c r="C48" s="63">
        <v>13</v>
      </c>
      <c r="D48" s="63">
        <v>9</v>
      </c>
      <c r="E48" s="54"/>
      <c r="F48" s="54"/>
      <c r="G48" s="54"/>
      <c r="H48" s="54"/>
      <c r="I48" s="52">
        <f t="shared" si="1"/>
        <v>2.6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191</v>
      </c>
      <c r="C49" s="63">
        <v>14</v>
      </c>
      <c r="D49" s="63">
        <v>8</v>
      </c>
      <c r="E49" s="54"/>
      <c r="F49" s="54"/>
      <c r="G49" s="54"/>
      <c r="H49" s="54"/>
      <c r="I49" s="52">
        <f t="shared" si="1"/>
        <v>2.4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193</v>
      </c>
      <c r="C50" s="53">
        <v>15</v>
      </c>
      <c r="D50" s="53">
        <v>193</v>
      </c>
      <c r="E50" s="54"/>
      <c r="F50" s="54"/>
      <c r="G50" s="54"/>
      <c r="H50" s="54"/>
      <c r="I50" s="52">
        <f t="shared" si="1"/>
        <v>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22</v>
      </c>
      <c r="C62" s="63">
        <v>1</v>
      </c>
      <c r="D62" s="63">
        <v>2</v>
      </c>
      <c r="E62" s="54"/>
      <c r="F62" s="54"/>
      <c r="G62" s="54">
        <v>1</v>
      </c>
      <c r="H62" s="54"/>
      <c r="I62" s="56">
        <f>IFERROR(B62/A62,"")</f>
        <v>4.4000000000000004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62</v>
      </c>
      <c r="C63" s="63">
        <v>2</v>
      </c>
      <c r="D63" s="63">
        <v>15</v>
      </c>
      <c r="E63" s="54"/>
      <c r="F63" s="54"/>
      <c r="G63" s="54">
        <v>1</v>
      </c>
      <c r="H63" s="54"/>
      <c r="I63" s="52">
        <f>IF(A63&lt;&gt;0,(B63-(B62-D62))/(A63-A62),"")</f>
        <v>8.4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89</v>
      </c>
      <c r="C64" s="63">
        <v>3</v>
      </c>
      <c r="D64" s="63">
        <v>13</v>
      </c>
      <c r="E64" s="54"/>
      <c r="F64" s="54"/>
      <c r="G64" s="54">
        <v>1</v>
      </c>
      <c r="H64" s="54"/>
      <c r="I64" s="52">
        <f>IF(A64&lt;&gt;0,(B64-(B63-D63))/(A64-A63),"")</f>
        <v>8.4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114</v>
      </c>
      <c r="C65" s="63">
        <v>4</v>
      </c>
      <c r="D65" s="63">
        <v>10</v>
      </c>
      <c r="E65" s="54">
        <v>0.2</v>
      </c>
      <c r="F65" s="54">
        <v>0.3</v>
      </c>
      <c r="G65" s="54">
        <v>0.5</v>
      </c>
      <c r="H65" s="54"/>
      <c r="I65" s="52">
        <f>IF(A65&lt;&gt;0,(B65-(B64-D64))/(A65-A64),"")</f>
        <v>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136</v>
      </c>
      <c r="C66" s="63">
        <v>5</v>
      </c>
      <c r="D66" s="63">
        <v>8</v>
      </c>
      <c r="E66" s="54">
        <v>0.3</v>
      </c>
      <c r="F66" s="54">
        <v>0.2</v>
      </c>
      <c r="G66" s="54">
        <v>0.5</v>
      </c>
      <c r="H66" s="54"/>
      <c r="I66" s="52">
        <f t="shared" ref="I66:I81" si="2">IF(A66&lt;&gt;0,(B66-(B65-D65))/(A66-A65),"")</f>
        <v>6.4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154</v>
      </c>
      <c r="C67" s="63">
        <v>6</v>
      </c>
      <c r="D67" s="63">
        <v>6</v>
      </c>
      <c r="E67" s="54">
        <v>0.4</v>
      </c>
      <c r="F67" s="54">
        <v>0.2</v>
      </c>
      <c r="G67" s="54">
        <v>0.4</v>
      </c>
      <c r="H67" s="54"/>
      <c r="I67" s="52">
        <f t="shared" si="2"/>
        <v>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169</v>
      </c>
      <c r="C68" s="63">
        <v>7</v>
      </c>
      <c r="D68" s="63">
        <v>5</v>
      </c>
      <c r="E68" s="54"/>
      <c r="F68" s="54"/>
      <c r="G68" s="54"/>
      <c r="H68" s="54"/>
      <c r="I68" s="52">
        <f t="shared" si="2"/>
        <v>4.2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183</v>
      </c>
      <c r="C69" s="53">
        <v>8</v>
      </c>
      <c r="D69" s="53">
        <v>4</v>
      </c>
      <c r="E69" s="54"/>
      <c r="F69" s="54"/>
      <c r="G69" s="54"/>
      <c r="H69" s="54"/>
      <c r="I69" s="52">
        <f t="shared" si="2"/>
        <v>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198</v>
      </c>
      <c r="C70" s="53">
        <v>9</v>
      </c>
      <c r="D70" s="53">
        <v>198</v>
      </c>
      <c r="E70" s="54"/>
      <c r="F70" s="54"/>
      <c r="G70" s="54"/>
      <c r="H70" s="54"/>
      <c r="I70" s="52">
        <f t="shared" si="2"/>
        <v>3.8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chevelu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Robinier faux-acacia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1.4255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5.2268333333333334</v>
      </c>
      <c r="H3" s="70">
        <f>(B3+E3+F3)*44/12+(C3+D3)*0.475*44/12</f>
        <v>222.1695666666667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216.94273333333334</v>
      </c>
      <c r="S3" s="62">
        <f ca="1">AVERAGE(OFFSET($R$3,0,0,'Données projet'!$E$9+1,1))-AVERAGE(OFFSET($H$3,0,0,'Données projet'!$E$9+1,1))</f>
        <v>326.68822125342342</v>
      </c>
      <c r="T3" s="62">
        <f>IF('Données projet'!E9&gt;30,$R$33-$H$33,LOOKUP('Données projet'!$E$9,$A$3:$A$203,R3:R203)-LOOKUP('Données projet'!$E$9,$A$3:$A$203,$H$3:$H$203))</f>
        <v>332.44447101343894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216.94273333333334</v>
      </c>
      <c r="AN3" s="62">
        <f ca="1">AVERAGE(OFFSET($AM$3,0,0,'Données projet'!$E$10+1,1))-AVERAGE(OFFSET($H$3,0,0,'Données projet'!$E$10+1,1))</f>
        <v>251.79502399207217</v>
      </c>
      <c r="AO3" s="62">
        <f>IF('Données projet'!E10&gt;30,$AM$33-$H$33,LOOKUP('Données projet'!$E$10,$A$3:$A$203,AM3:AM203)-LOOKUP('Données projet'!$E$10,$A$3:$A$203,$H$3:$H$203))</f>
        <v>353.30085932455904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59.166200000000003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1.4255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5.2268333333333334</v>
      </c>
      <c r="H4" s="70">
        <f t="shared" ref="H4:H67" si="1">(B4+E4+F4)*44/12+(C4+D4)*0.475*44/12</f>
        <v>222.1695666666667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3.95</v>
      </c>
      <c r="N4" s="14">
        <f>IF('Données projet'!$A$36&gt;35,N3+M4-V3,IF(A4&lt;'Données projet'!$A$36,$K$205^A4,IF(A4='Données projet'!$A$36,'Données projet'!$B$36,N3+M4-V3)))</f>
        <v>1.2441746677543575</v>
      </c>
      <c r="O4" s="14">
        <f>N4*VLOOKUP('Données projet'!$B$9,Paramètres!$A$1:$I$89,3,0)*VLOOKUP('Données projet'!$B$9,Paramètres!$A$1:$I$89,5,0)</f>
        <v>1.3004113627368545</v>
      </c>
      <c r="P4" s="14">
        <f>EXP(-1.0587+0.8836*LN(O4)+0.284)</f>
        <v>0.58123776018029871</v>
      </c>
      <c r="Q4" s="22">
        <f t="shared" ref="Q4:Q34" si="2">(O4+P4)*0.475*44/12</f>
        <v>3.2772055557473752</v>
      </c>
      <c r="R4" s="62">
        <f t="shared" si="0"/>
        <v>222.13128254522596</v>
      </c>
      <c r="S4" s="62">
        <f ca="1">AVERAGE(OFFSET($R$3,0,0,'Données projet'!$E$9+1,1))-AVERAGE(OFFSET($H$3,0,0,'Données projet'!$E$9+1,1))</f>
        <v>326.68822125342342</v>
      </c>
      <c r="T4" s="62">
        <f>$T$3</f>
        <v>332.44447101343894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4.4000000000000004</v>
      </c>
      <c r="AI4" s="14">
        <f>IF('Données projet'!$A$62&gt;35,AI3+AH4-AQ3,IF(A4&lt;'Données projet'!$A$62,$AF$205^A4,IF(A4='Données projet'!$A$62,'Données projet'!$B$62,AI3+AH4-AQ3)))</f>
        <v>1.8556007362580844</v>
      </c>
      <c r="AJ4" s="14">
        <f>AI4*VLOOKUP('Données projet'!$B$10,Paramètres!$A$1:$I$89,3,0)*VLOOKUP('Données projet'!$B$10,Paramètres!$A$1:$I$89,5,0)</f>
        <v>1.6789475461663146</v>
      </c>
      <c r="AK4" s="14">
        <f>EXP(-1.0587+0.8836*LN(AJ4)+0.284)</f>
        <v>0.72844182078056119</v>
      </c>
      <c r="AL4" s="22">
        <f t="shared" ref="AL4:AL67" si="4">(AJ4+AK4)*0.475*44/12</f>
        <v>4.1928698140991418</v>
      </c>
      <c r="AM4" s="62">
        <f t="shared" ref="AM4:AM67" si="5">AL4+(AD4+AE4)*44/12</f>
        <v>223.04694680357773</v>
      </c>
      <c r="AN4" s="62">
        <f ca="1">AVERAGE(OFFSET($AM$3,0,0,'Données projet'!$E$10+1,1))-AVERAGE(OFFSET($H$3,0,0,'Données projet'!$E$10+1,1))</f>
        <v>251.79502399207217</v>
      </c>
      <c r="AO4" s="62">
        <f>$AO$3</f>
        <v>353.30085932455904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59.354142209251734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1.4255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5.2268333333333334</v>
      </c>
      <c r="H5" s="70">
        <f t="shared" si="1"/>
        <v>222.1695666666667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3.95</v>
      </c>
      <c r="N5" s="14">
        <f>IF('Données projet'!$A$36&gt;35,N4+M5-V4,IF(A5&lt;'Données projet'!$A$36,$K$205^A5,IF(A5='Données projet'!$A$36,'Données projet'!$B$36,N4+M5-V4)))</f>
        <v>1.5479706038816659</v>
      </c>
      <c r="O5" s="14">
        <f>N5*VLOOKUP('Données projet'!$B$9,Paramètres!$A$1:$I$89,3,0)*VLOOKUP('Données projet'!$B$9,Paramètres!$A$1:$I$89,5,0)</f>
        <v>1.6179388751771173</v>
      </c>
      <c r="P5" s="14">
        <f t="shared" ref="P5:P68" si="33">EXP(-1.0587+0.8836*LN(O5)+0.284)</f>
        <v>0.70500303308237422</v>
      </c>
      <c r="Q5" s="22">
        <f t="shared" si="2"/>
        <v>4.0457904902186153</v>
      </c>
      <c r="R5" s="62">
        <f t="shared" si="0"/>
        <v>224.79925641960855</v>
      </c>
      <c r="S5" s="62">
        <f ca="1">AVERAGE(OFFSET($R$3,0,0,'Données projet'!$E$9+1,1))-AVERAGE(OFFSET($H$3,0,0,'Données projet'!$E$9+1,1))</f>
        <v>326.68822125342342</v>
      </c>
      <c r="T5" s="62">
        <f t="shared" ref="T5:T68" si="34">$T$3</f>
        <v>332.44447101343894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4.4000000000000004</v>
      </c>
      <c r="AI5" s="14">
        <f>IF('Données projet'!$A$62&gt;35,AI4+AH5-AQ4,IF(A5&lt;'Données projet'!$A$62,$AF$205^A5,IF(A5='Données projet'!$A$62,'Données projet'!$B$62,AI4+AH5-AQ4)))</f>
        <v>3.4432540924015451</v>
      </c>
      <c r="AJ5" s="14">
        <f>AI5*VLOOKUP('Données projet'!$B$10,Paramètres!$A$1:$I$89,3,0)*VLOOKUP('Données projet'!$B$10,Paramètres!$A$1:$I$89,5,0)</f>
        <v>3.115456302804918</v>
      </c>
      <c r="AK5" s="14">
        <f t="shared" ref="AK5:AK68" si="35">EXP(-1.0587+0.8836*LN(AJ5)+0.284)</f>
        <v>1.2578469684295466</v>
      </c>
      <c r="AL5" s="22">
        <f t="shared" si="4"/>
        <v>7.6168365307333579</v>
      </c>
      <c r="AM5" s="62">
        <f t="shared" si="5"/>
        <v>228.3703024601233</v>
      </c>
      <c r="AN5" s="62">
        <f ca="1">AVERAGE(OFFSET($AM$3,0,0,'Données projet'!$E$10+1,1))-AVERAGE(OFFSET($H$3,0,0,'Données projet'!$E$10+1,1))</f>
        <v>251.79502399207217</v>
      </c>
      <c r="AO5" s="62">
        <f t="shared" ref="AO5:AO68" si="36">$AO$3</f>
        <v>353.30085932455904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59.538824041348775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1.4255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5.2268333333333334</v>
      </c>
      <c r="H6" s="70">
        <f t="shared" si="1"/>
        <v>222.1695666666667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3.95</v>
      </c>
      <c r="N6" s="14">
        <f>IF('Données projet'!$A$36&gt;35,N5+M6-V5,IF(A6&lt;'Données projet'!$A$36,$K$205^A6,IF(A6='Données projet'!$A$36,'Données projet'!$B$36,N5+M6-V5)))</f>
        <v>1.9259458117779837</v>
      </c>
      <c r="O6" s="14">
        <f>N6*VLOOKUP('Données projet'!$B$9,Paramètres!$A$1:$I$89,3,0)*VLOOKUP('Données projet'!$B$9,Paramètres!$A$1:$I$89,5,0)</f>
        <v>2.0129985624703486</v>
      </c>
      <c r="P6" s="14">
        <f t="shared" si="33"/>
        <v>0.85512213883208454</v>
      </c>
      <c r="Q6" s="22">
        <f t="shared" si="2"/>
        <v>4.9953102214350711</v>
      </c>
      <c r="R6" s="62">
        <f t="shared" si="0"/>
        <v>227.6364177621025</v>
      </c>
      <c r="S6" s="62">
        <f ca="1">AVERAGE(OFFSET($R$3,0,0,'Données projet'!$E$9+1,1))-AVERAGE(OFFSET($H$3,0,0,'Données projet'!$E$9+1,1))</f>
        <v>326.68822125342342</v>
      </c>
      <c r="T6" s="62">
        <f t="shared" si="34"/>
        <v>332.44447101343894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4.4000000000000004</v>
      </c>
      <c r="AI6" s="14">
        <f>IF('Données projet'!$A$62&gt;35,AI5+AH6-AQ5,IF(A6&lt;'Données projet'!$A$62,$AF$205^A6,IF(A6='Données projet'!$A$62,'Données projet'!$B$62,AI5+AH6-AQ5)))</f>
        <v>6.3893048289839696</v>
      </c>
      <c r="AJ6" s="14">
        <f>AI6*VLOOKUP('Données projet'!$B$10,Paramètres!$A$1:$I$89,3,0)*VLOOKUP('Données projet'!$B$10,Paramètres!$A$1:$I$89,5,0)</f>
        <v>5.7810430092646952</v>
      </c>
      <c r="AK6" s="14">
        <f t="shared" si="35"/>
        <v>2.1720046143040199</v>
      </c>
      <c r="AL6" s="22">
        <f t="shared" si="4"/>
        <v>13.851557944382177</v>
      </c>
      <c r="AM6" s="62">
        <f t="shared" si="5"/>
        <v>236.4926654850496</v>
      </c>
      <c r="AN6" s="62">
        <f ca="1">AVERAGE(OFFSET($AM$3,0,0,'Données projet'!$E$10+1,1))-AVERAGE(OFFSET($H$3,0,0,'Données projet'!$E$10+1,1))</f>
        <v>251.79502399207217</v>
      </c>
      <c r="AO6" s="62">
        <f t="shared" si="36"/>
        <v>353.30085932455904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59.720302056545663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1.4255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5.2268333333333334</v>
      </c>
      <c r="H7" s="70">
        <f t="shared" si="1"/>
        <v>222.1695666666667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3.95</v>
      </c>
      <c r="N7" s="14">
        <f>IF('Données projet'!$A$36&gt;35,N6+M7-V6,IF(A7&lt;'Données projet'!$A$36,$K$205^A7,IF(A7='Données projet'!$A$36,'Données projet'!$B$36,N6+M7-V6)))</f>
        <v>2.3962129904817693</v>
      </c>
      <c r="O7" s="14">
        <f>N7*VLOOKUP('Données projet'!$B$9,Paramètres!$A$1:$I$89,3,0)*VLOOKUP('Données projet'!$B$9,Paramètres!$A$1:$I$89,5,0)</f>
        <v>2.5045218176515456</v>
      </c>
      <c r="P7" s="14">
        <f t="shared" si="33"/>
        <v>1.0372067040955837</v>
      </c>
      <c r="Q7" s="22">
        <f t="shared" si="2"/>
        <v>6.1685105087095833</v>
      </c>
      <c r="R7" s="62">
        <f t="shared" si="0"/>
        <v>230.68571612190922</v>
      </c>
      <c r="S7" s="62">
        <f ca="1">AVERAGE(OFFSET($R$3,0,0,'Données projet'!$E$9+1,1))-AVERAGE(OFFSET($H$3,0,0,'Données projet'!$E$9+1,1))</f>
        <v>326.68822125342342</v>
      </c>
      <c r="T7" s="62">
        <f t="shared" si="34"/>
        <v>332.44447101343894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4.4000000000000004</v>
      </c>
      <c r="AI7" s="14">
        <f>IF('Données projet'!$A$62&gt;35,AI6+AH7-AQ6,IF(A7&lt;'Données projet'!$A$62,$AF$205^A7,IF(A7='Données projet'!$A$62,'Données projet'!$B$62,AI6+AH7-AQ6)))</f>
        <v>11.855998744839988</v>
      </c>
      <c r="AJ7" s="14">
        <f>AI7*VLOOKUP('Données projet'!$B$10,Paramètres!$A$1:$I$89,3,0)*VLOOKUP('Données projet'!$B$10,Paramètres!$A$1:$I$89,5,0)</f>
        <v>10.727307664331221</v>
      </c>
      <c r="AK7" s="14">
        <f t="shared" si="35"/>
        <v>3.7505389470771635</v>
      </c>
      <c r="AL7" s="22">
        <f t="shared" si="4"/>
        <v>25.215582848202938</v>
      </c>
      <c r="AM7" s="62">
        <f t="shared" si="5"/>
        <v>249.73278846140258</v>
      </c>
      <c r="AN7" s="62">
        <f ca="1">AVERAGE(OFFSET($AM$3,0,0,'Données projet'!$E$10+1,1))-AVERAGE(OFFSET($H$3,0,0,'Données projet'!$E$10+1,1))</f>
        <v>251.79502399207217</v>
      </c>
      <c r="AO7" s="62">
        <f t="shared" si="36"/>
        <v>353.30085932455904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59.89863183390294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1.4255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5.2268333333333334</v>
      </c>
      <c r="H8" s="70">
        <f t="shared" si="1"/>
        <v>222.1695666666667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3.95</v>
      </c>
      <c r="N8" s="14">
        <f>IF('Données projet'!$A$36&gt;35,N7+M8-V7,IF(A8&lt;'Données projet'!$A$36,$K$205^A8,IF(A8='Données projet'!$A$36,'Données projet'!$B$36,N7+M8-V7)))</f>
        <v>2.9813075013013308</v>
      </c>
      <c r="O8" s="14">
        <f>N8*VLOOKUP('Données projet'!$B$9,Paramètres!$A$1:$I$89,3,0)*VLOOKUP('Données projet'!$B$9,Paramètres!$A$1:$I$89,5,0)</f>
        <v>3.1160626003601513</v>
      </c>
      <c r="P8" s="14">
        <f t="shared" si="33"/>
        <v>1.2580632615711893</v>
      </c>
      <c r="Q8" s="22">
        <f t="shared" si="2"/>
        <v>7.6182692095304176</v>
      </c>
      <c r="R8" s="62">
        <f t="shared" si="0"/>
        <v>234.00022961110682</v>
      </c>
      <c r="S8" s="62">
        <f ca="1">AVERAGE(OFFSET($R$3,0,0,'Données projet'!$E$9+1,1))-AVERAGE(OFFSET($H$3,0,0,'Données projet'!$E$9+1,1))</f>
        <v>326.68822125342342</v>
      </c>
      <c r="T8" s="62">
        <f t="shared" si="34"/>
        <v>332.44447101343894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22</v>
      </c>
      <c r="AG8" s="13">
        <f>VLOOKUP(A8,'Données projet'!$A$61:$I$81,9,0)</f>
        <v>4.4000000000000004</v>
      </c>
      <c r="AH8" s="13">
        <f t="array" ref="AH8">INDEX(AG:AG,MIN(IF(ISNUMBER(AG8:AG204),ROW(AG8:AG204),"")))</f>
        <v>4.4000000000000004</v>
      </c>
      <c r="AI8" s="14">
        <f>IF('Données projet'!$A$62&gt;35,AI7+AH8-AQ7,IF(A8&lt;'Données projet'!$A$62,$AF$205^A8,IF(A8='Données projet'!$A$62,'Données projet'!$B$62,AI7+AH8-AQ7)))</f>
        <v>22</v>
      </c>
      <c r="AJ8" s="14">
        <f>AI8*VLOOKUP('Données projet'!$B$10,Paramètres!$A$1:$I$89,3,0)*VLOOKUP('Données projet'!$B$10,Paramètres!$A$1:$I$89,5,0)</f>
        <v>19.9056</v>
      </c>
      <c r="AK8" s="14">
        <f t="shared" si="35"/>
        <v>6.4762948940833853</v>
      </c>
      <c r="AL8" s="22">
        <f t="shared" si="4"/>
        <v>45.948466940528562</v>
      </c>
      <c r="AM8" s="62">
        <f t="shared" si="5"/>
        <v>272.33042734210494</v>
      </c>
      <c r="AN8" s="62">
        <f ca="1">AVERAGE(OFFSET($AM$3,0,0,'Données projet'!$E$10+1,1))-AVERAGE(OFFSET($H$3,0,0,'Données projet'!$E$10+1,1))</f>
        <v>251.79502399207217</v>
      </c>
      <c r="AO8" s="62">
        <f t="shared" si="36"/>
        <v>353.30085932455904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2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1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1.7074063046699104</v>
      </c>
      <c r="AX8" s="23">
        <f t="shared" si="6"/>
        <v>1.7074063046699104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60.07386798830872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1.4255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5.2268333333333334</v>
      </c>
      <c r="H9" s="70">
        <f t="shared" si="1"/>
        <v>222.1695666666667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3.95</v>
      </c>
      <c r="N9" s="14">
        <f>IF('Données projet'!$A$36&gt;35,N8+M9-V8,IF(A9&lt;'Données projet'!$A$36,$K$205^A9,IF(A9='Données projet'!$A$36,'Données projet'!$B$36,N8+M9-V8)))</f>
        <v>3.709267269905157</v>
      </c>
      <c r="O9" s="14">
        <f>N9*VLOOKUP('Données projet'!$B$9,Paramètres!$A$1:$I$89,3,0)*VLOOKUP('Données projet'!$B$9,Paramètres!$A$1:$I$89,5,0)</f>
        <v>3.87692615050487</v>
      </c>
      <c r="P9" s="14">
        <f t="shared" si="33"/>
        <v>1.5259476860933232</v>
      </c>
      <c r="Q9" s="22">
        <f t="shared" si="2"/>
        <v>9.41000526540852</v>
      </c>
      <c r="R9" s="62">
        <f t="shared" si="0"/>
        <v>237.64557395182655</v>
      </c>
      <c r="S9" s="62">
        <f ca="1">AVERAGE(OFFSET($R$3,0,0,'Données projet'!$E$9+1,1))-AVERAGE(OFFSET($H$3,0,0,'Données projet'!$E$9+1,1))</f>
        <v>326.68822125342342</v>
      </c>
      <c r="T9" s="62">
        <f t="shared" si="34"/>
        <v>332.44447101343894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8.4</v>
      </c>
      <c r="AI9" s="14">
        <f>IF('Données projet'!$A$62&gt;35,AI8+AH9-AQ8,IF(A9&lt;'Données projet'!$A$62,$AF$205^A9,IF(A9='Données projet'!$A$62,'Données projet'!$B$62,AI8+AH9-AQ8)))</f>
        <v>28.4</v>
      </c>
      <c r="AJ9" s="14">
        <f>AI9*VLOOKUP('Données projet'!$B$10,Paramètres!$A$1:$I$89,3,0)*VLOOKUP('Données projet'!$B$10,Paramètres!$A$1:$I$89,5,0)</f>
        <v>25.696319999999996</v>
      </c>
      <c r="AK9" s="14">
        <f t="shared" si="35"/>
        <v>8.1154764225027609</v>
      </c>
      <c r="AL9" s="22">
        <f t="shared" si="4"/>
        <v>58.88887876919231</v>
      </c>
      <c r="AM9" s="62">
        <f t="shared" si="5"/>
        <v>287.12444745561032</v>
      </c>
      <c r="AN9" s="62">
        <f ca="1">AVERAGE(OFFSET($AM$3,0,0,'Données projet'!$E$10+1,1))-AVERAGE(OFFSET($H$3,0,0,'Données projet'!$E$10+1,1))</f>
        <v>251.79502399207217</v>
      </c>
      <c r="AO9" s="62">
        <f t="shared" si="36"/>
        <v>353.30085932455904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1.2073185762727581</v>
      </c>
      <c r="AX9" s="23">
        <f t="shared" si="6"/>
        <v>1.2073185762727581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60.246064187204915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1.4255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5.2268333333333334</v>
      </c>
      <c r="H10" s="70">
        <f t="shared" si="1"/>
        <v>222.1695666666667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3.95</v>
      </c>
      <c r="N10" s="14">
        <f>IF('Données projet'!$A$36&gt;35,N9+M10-V9,IF(A10&lt;'Données projet'!$A$36,$K$205^A10,IF(A10='Données projet'!$A$36,'Données projet'!$B$36,N9+M10-V9)))</f>
        <v>4.6149763731463613</v>
      </c>
      <c r="O10" s="14">
        <f>N10*VLOOKUP('Données projet'!$B$9,Paramètres!$A$1:$I$89,3,0)*VLOOKUP('Données projet'!$B$9,Paramètres!$A$1:$I$89,5,0)</f>
        <v>4.8235733052125775</v>
      </c>
      <c r="P10" s="14">
        <f t="shared" si="33"/>
        <v>1.8508738088301655</v>
      </c>
      <c r="Q10" s="22">
        <f t="shared" si="2"/>
        <v>11.624662056957776</v>
      </c>
      <c r="R10" s="62">
        <f t="shared" si="0"/>
        <v>241.70288589159875</v>
      </c>
      <c r="S10" s="62">
        <f ca="1">AVERAGE(OFFSET($R$3,0,0,'Données projet'!$E$9+1,1))-AVERAGE(OFFSET($H$3,0,0,'Données projet'!$E$9+1,1))</f>
        <v>326.68822125342342</v>
      </c>
      <c r="T10" s="62">
        <f t="shared" si="34"/>
        <v>332.44447101343894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8.4</v>
      </c>
      <c r="AI10" s="14">
        <f>IF('Données projet'!$A$62&gt;35,AI9+AH10-AQ9,IF(A10&lt;'Données projet'!$A$62,$AF$205^A10,IF(A10='Données projet'!$A$62,'Données projet'!$B$62,AI9+AH10-AQ9)))</f>
        <v>36.799999999999997</v>
      </c>
      <c r="AJ10" s="14">
        <f>AI10*VLOOKUP('Données projet'!$B$10,Paramètres!$A$1:$I$89,3,0)*VLOOKUP('Données projet'!$B$10,Paramètres!$A$1:$I$89,5,0)</f>
        <v>33.296639999999996</v>
      </c>
      <c r="AK10" s="14">
        <f t="shared" si="35"/>
        <v>10.203403646313538</v>
      </c>
      <c r="AL10" s="22">
        <f t="shared" si="4"/>
        <v>75.762576017329408</v>
      </c>
      <c r="AM10" s="62">
        <f t="shared" si="5"/>
        <v>305.84079985197036</v>
      </c>
      <c r="AN10" s="62">
        <f ca="1">AVERAGE(OFFSET($AM$3,0,0,'Données projet'!$E$10+1,1))-AVERAGE(OFFSET($H$3,0,0,'Données projet'!$E$10+1,1))</f>
        <v>251.79502399207217</v>
      </c>
      <c r="AO10" s="62">
        <f t="shared" si="36"/>
        <v>353.30085932455904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0.85370315233495531</v>
      </c>
      <c r="AX10" s="23">
        <f t="shared" si="6"/>
        <v>0.85370315233495531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60.415273167023287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1.4255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5.2268333333333334</v>
      </c>
      <c r="H11" s="70">
        <f t="shared" si="1"/>
        <v>222.1695666666667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3.95</v>
      </c>
      <c r="N11" s="14">
        <f>IF('Données projet'!$A$36&gt;35,N10+M11-V10,IF(A11&lt;'Données projet'!$A$36,$K$205^A11,IF(A11='Données projet'!$A$36,'Données projet'!$B$36,N10+M11-V10)))</f>
        <v>5.7418366957535838</v>
      </c>
      <c r="O11" s="14">
        <f>N11*VLOOKUP('Données projet'!$B$9,Paramètres!$A$1:$I$89,3,0)*VLOOKUP('Données projet'!$B$9,Paramètres!$A$1:$I$89,5,0)</f>
        <v>6.0013677144016464</v>
      </c>
      <c r="P11" s="14">
        <f t="shared" si="33"/>
        <v>2.2449877459324479</v>
      </c>
      <c r="Q11" s="22">
        <f t="shared" si="2"/>
        <v>14.362402426748547</v>
      </c>
      <c r="R11" s="62">
        <f t="shared" si="0"/>
        <v>246.27251828542651</v>
      </c>
      <c r="S11" s="62">
        <f ca="1">AVERAGE(OFFSET($R$3,0,0,'Données projet'!$E$9+1,1))-AVERAGE(OFFSET($H$3,0,0,'Données projet'!$E$9+1,1))</f>
        <v>326.68822125342342</v>
      </c>
      <c r="T11" s="62">
        <f t="shared" si="34"/>
        <v>332.44447101343894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8.4</v>
      </c>
      <c r="AI11" s="14">
        <f>IF('Données projet'!$A$62&gt;35,AI10+AH11-AQ10,IF(A11&lt;'Données projet'!$A$62,$AF$205^A11,IF(A11='Données projet'!$A$62,'Données projet'!$B$62,AI10+AH11-AQ10)))</f>
        <v>45.199999999999996</v>
      </c>
      <c r="AJ11" s="14">
        <f>AI11*VLOOKUP('Données projet'!$B$10,Paramètres!$A$1:$I$89,3,0)*VLOOKUP('Données projet'!$B$10,Paramètres!$A$1:$I$89,5,0)</f>
        <v>40.896959999999993</v>
      </c>
      <c r="AK11" s="14">
        <f t="shared" si="35"/>
        <v>12.236078544211829</v>
      </c>
      <c r="AL11" s="22">
        <f t="shared" si="4"/>
        <v>92.540042131168903</v>
      </c>
      <c r="AM11" s="62">
        <f t="shared" si="5"/>
        <v>324.45015798984684</v>
      </c>
      <c r="AN11" s="62">
        <f ca="1">AVERAGE(OFFSET($AM$3,0,0,'Données projet'!$E$10+1,1))-AVERAGE(OFFSET($H$3,0,0,'Données projet'!$E$10+1,1))</f>
        <v>251.79502399207217</v>
      </c>
      <c r="AO11" s="62">
        <f t="shared" si="36"/>
        <v>353.30085932455904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0.60365928813637915</v>
      </c>
      <c r="AX11" s="23">
        <f t="shared" si="6"/>
        <v>0.60365928813637915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60.581546749336418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1.4255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5.2268333333333334</v>
      </c>
      <c r="H12" s="70">
        <f t="shared" si="1"/>
        <v>222.1695666666667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3.95</v>
      </c>
      <c r="N12" s="14">
        <f>IF('Données projet'!$A$36&gt;35,N11+M12-V11,IF(A12&lt;'Données projet'!$A$36,$K$205^A12,IF(A12='Données projet'!$A$36,'Données projet'!$B$36,N11+M12-V11)))</f>
        <v>7.143847763238993</v>
      </c>
      <c r="O12" s="14">
        <f>N12*VLOOKUP('Données projet'!$B$9,Paramètres!$A$1:$I$89,3,0)*VLOOKUP('Données projet'!$B$9,Paramètres!$A$1:$I$89,5,0)</f>
        <v>7.4667496821373955</v>
      </c>
      <c r="P12" s="14">
        <f t="shared" si="33"/>
        <v>2.7230219344733917</v>
      </c>
      <c r="Q12" s="22">
        <f t="shared" si="2"/>
        <v>17.747185565597121</v>
      </c>
      <c r="R12" s="62">
        <f t="shared" si="0"/>
        <v>251.47861704026815</v>
      </c>
      <c r="S12" s="62">
        <f ca="1">AVERAGE(OFFSET($R$3,0,0,'Données projet'!$E$9+1,1))-AVERAGE(OFFSET($H$3,0,0,'Données projet'!$E$9+1,1))</f>
        <v>326.68822125342342</v>
      </c>
      <c r="T12" s="62">
        <f t="shared" si="34"/>
        <v>332.44447101343894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8.4</v>
      </c>
      <c r="AI12" s="14">
        <f>IF('Données projet'!$A$62&gt;35,AI11+AH12-AQ11,IF(A12&lt;'Données projet'!$A$62,$AF$205^A12,IF(A12='Données projet'!$A$62,'Données projet'!$B$62,AI11+AH12-AQ11)))</f>
        <v>53.599999999999994</v>
      </c>
      <c r="AJ12" s="14">
        <f>AI12*VLOOKUP('Données projet'!$B$10,Paramètres!$A$1:$I$89,3,0)*VLOOKUP('Données projet'!$B$10,Paramètres!$A$1:$I$89,5,0)</f>
        <v>48.497279999999989</v>
      </c>
      <c r="AK12" s="14">
        <f t="shared" si="35"/>
        <v>14.224989131913244</v>
      </c>
      <c r="AL12" s="22">
        <f t="shared" si="4"/>
        <v>109.24128540474889</v>
      </c>
      <c r="AM12" s="62">
        <f t="shared" si="5"/>
        <v>342.97271687941992</v>
      </c>
      <c r="AN12" s="62">
        <f ca="1">AVERAGE(OFFSET($AM$3,0,0,'Données projet'!$E$10+1,1))-AVERAGE(OFFSET($H$3,0,0,'Données projet'!$E$10+1,1))</f>
        <v>251.79502399207217</v>
      </c>
      <c r="AO12" s="62">
        <f t="shared" si="36"/>
        <v>353.30085932455904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0.42685157616747771</v>
      </c>
      <c r="AX12" s="23">
        <f t="shared" si="6"/>
        <v>0.42685157616747771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60.744935856728453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1.4255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5.2268333333333334</v>
      </c>
      <c r="H13" s="70">
        <f t="shared" si="1"/>
        <v>222.1695666666667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3.95</v>
      </c>
      <c r="N13" s="14">
        <f>IF('Données projet'!$A$36&gt;35,N12+M13-V12,IF(A13&lt;'Données projet'!$A$36,$K$205^A13,IF(A13='Données projet'!$A$36,'Données projet'!$B$36,N12+M13-V12)))</f>
        <v>8.8881944173155834</v>
      </c>
      <c r="O13" s="14">
        <f>N13*VLOOKUP('Données projet'!$B$9,Paramètres!$A$1:$I$89,3,0)*VLOOKUP('Données projet'!$B$9,Paramètres!$A$1:$I$89,5,0)</f>
        <v>9.289940804978249</v>
      </c>
      <c r="P13" s="14">
        <f t="shared" si="33"/>
        <v>3.3028458480709806</v>
      </c>
      <c r="Q13" s="22">
        <f t="shared" si="2"/>
        <v>21.932436754060742</v>
      </c>
      <c r="R13" s="62">
        <f t="shared" si="0"/>
        <v>257.47479091371497</v>
      </c>
      <c r="S13" s="62">
        <f ca="1">AVERAGE(OFFSET($R$3,0,0,'Données projet'!$E$9+1,1))-AVERAGE(OFFSET($H$3,0,0,'Données projet'!$E$9+1,1))</f>
        <v>326.68822125342342</v>
      </c>
      <c r="T13" s="62">
        <f t="shared" si="34"/>
        <v>332.44447101343894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62</v>
      </c>
      <c r="AG13" s="13">
        <f>VLOOKUP(A13,'Données projet'!$A$61:$I$81,9,0)</f>
        <v>8.4</v>
      </c>
      <c r="AH13" s="13">
        <f t="array" ref="AH13">INDEX(AG:AG,MIN(IF(ISNUMBER(AG13:AG209),ROW(AG13:AG209),"")))</f>
        <v>8.4</v>
      </c>
      <c r="AI13" s="14">
        <f>IF('Données projet'!$A$62&gt;35,AI12+AH13-AQ12,IF(A13&lt;'Données projet'!$A$62,$AF$205^A13,IF(A13='Données projet'!$A$62,'Données projet'!$B$62,AI12+AH13-AQ12)))</f>
        <v>61.999999999999993</v>
      </c>
      <c r="AJ13" s="14">
        <f>AI13*VLOOKUP('Données projet'!$B$10,Paramètres!$A$1:$I$89,3,0)*VLOOKUP('Données projet'!$B$10,Paramètres!$A$1:$I$89,5,0)</f>
        <v>56.097599999999993</v>
      </c>
      <c r="AK13" s="14">
        <f t="shared" si="35"/>
        <v>16.177791426098278</v>
      </c>
      <c r="AL13" s="22">
        <f t="shared" si="4"/>
        <v>125.87964006712114</v>
      </c>
      <c r="AM13" s="62">
        <f t="shared" si="5"/>
        <v>361.42199422677538</v>
      </c>
      <c r="AN13" s="62">
        <f ca="1">AVERAGE(OFFSET($AM$3,0,0,'Données projet'!$E$10+1,1))-AVERAGE(OFFSET($H$3,0,0,'Données projet'!$E$10+1,1))</f>
        <v>251.79502399207217</v>
      </c>
      <c r="AO13" s="62">
        <f t="shared" si="36"/>
        <v>353.30085932455904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15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13.107376929092517</v>
      </c>
      <c r="AX13" s="23">
        <f t="shared" si="6"/>
        <v>13.107376929092517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60.905490528390558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1.4255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5.2268333333333334</v>
      </c>
      <c r="H14" s="70">
        <f t="shared" si="1"/>
        <v>222.1695666666667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3.95</v>
      </c>
      <c r="N14" s="14">
        <f>IF('Données projet'!$A$36&gt;35,N13+M14-V13,IF(A14&lt;'Données projet'!$A$36,$K$205^A14,IF(A14='Données projet'!$A$36,'Données projet'!$B$36,N13+M14-V13)))</f>
        <v>11.058466336099752</v>
      </c>
      <c r="O14" s="14">
        <f>N14*VLOOKUP('Données projet'!$B$9,Paramètres!$A$1:$I$89,3,0)*VLOOKUP('Données projet'!$B$9,Paramètres!$A$1:$I$89,5,0)</f>
        <v>11.558309014491462</v>
      </c>
      <c r="P14" s="14">
        <f t="shared" si="33"/>
        <v>4.0061339785826489</v>
      </c>
      <c r="Q14" s="22">
        <f t="shared" si="2"/>
        <v>27.10807154627074</v>
      </c>
      <c r="R14" s="62">
        <f t="shared" si="0"/>
        <v>264.45113575401643</v>
      </c>
      <c r="S14" s="62">
        <f ca="1">AVERAGE(OFFSET($R$3,0,0,'Données projet'!$E$9+1,1))-AVERAGE(OFFSET($H$3,0,0,'Données projet'!$E$9+1,1))</f>
        <v>326.68822125342342</v>
      </c>
      <c r="T14" s="62">
        <f t="shared" si="34"/>
        <v>332.44447101343894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8.4</v>
      </c>
      <c r="AI14" s="14">
        <f>IF('Données projet'!$A$62&gt;35,AI13+AH14-AQ13,IF(A14&lt;'Données projet'!$A$62,$AF$205^A14,IF(A14='Données projet'!$A$62,'Données projet'!$B$62,AI13+AH14-AQ13)))</f>
        <v>55.399999999999991</v>
      </c>
      <c r="AJ14" s="14">
        <f>AI14*VLOOKUP('Données projet'!$B$10,Paramètres!$A$1:$I$89,3,0)*VLOOKUP('Données projet'!$B$10,Paramètres!$A$1:$I$89,5,0)</f>
        <v>50.125919999999986</v>
      </c>
      <c r="AK14" s="14">
        <f t="shared" si="35"/>
        <v>14.646274290627822</v>
      </c>
      <c r="AL14" s="22">
        <f t="shared" si="4"/>
        <v>112.81157172284342</v>
      </c>
      <c r="AM14" s="62">
        <f t="shared" si="5"/>
        <v>350.15463593058911</v>
      </c>
      <c r="AN14" s="62">
        <f ca="1">AVERAGE(OFFSET($AM$3,0,0,'Données projet'!$E$10+1,1))-AVERAGE(OFFSET($H$3,0,0,'Données projet'!$E$10+1,1))</f>
        <v>251.79502399207217</v>
      </c>
      <c r="AO14" s="62">
        <f t="shared" si="36"/>
        <v>353.30085932455904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9.268315110129425</v>
      </c>
      <c r="AX14" s="23">
        <f t="shared" si="6"/>
        <v>9.268315110129425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61.063259935445799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1.4255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5.2268333333333334</v>
      </c>
      <c r="H15" s="70">
        <f t="shared" si="1"/>
        <v>222.1695666666667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3.95</v>
      </c>
      <c r="N15" s="14">
        <f>IF('Données projet'!$A$36&gt;35,N14+M15-V14,IF(A15&lt;'Données projet'!$A$36,$K$205^A15,IF(A15='Données projet'!$A$36,'Données projet'!$B$36,N14+M15-V14)))</f>
        <v>13.758663679589656</v>
      </c>
      <c r="O15" s="14">
        <f>N15*VLOOKUP('Données projet'!$B$9,Paramètres!$A$1:$I$89,3,0)*VLOOKUP('Données projet'!$B$9,Paramètres!$A$1:$I$89,5,0)</f>
        <v>14.380555277907108</v>
      </c>
      <c r="P15" s="14">
        <f t="shared" si="33"/>
        <v>4.8591760538045978</v>
      </c>
      <c r="Q15" s="22">
        <f t="shared" si="2"/>
        <v>33.509198736064555</v>
      </c>
      <c r="R15" s="62">
        <f t="shared" si="0"/>
        <v>272.64293752142794</v>
      </c>
      <c r="S15" s="62">
        <f ca="1">AVERAGE(OFFSET($R$3,0,0,'Données projet'!$E$9+1,1))-AVERAGE(OFFSET($H$3,0,0,'Données projet'!$E$9+1,1))</f>
        <v>326.68822125342342</v>
      </c>
      <c r="T15" s="62">
        <f t="shared" si="34"/>
        <v>332.44447101343894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8.4</v>
      </c>
      <c r="AI15" s="14">
        <f>IF('Données projet'!$A$62&gt;35,AI14+AH15-AQ14,IF(A15&lt;'Données projet'!$A$62,$AF$205^A15,IF(A15='Données projet'!$A$62,'Données projet'!$B$62,AI14+AH15-AQ14)))</f>
        <v>63.79999999999999</v>
      </c>
      <c r="AJ15" s="14">
        <f>AI15*VLOOKUP('Données projet'!$B$10,Paramètres!$A$1:$I$89,3,0)*VLOOKUP('Données projet'!$B$10,Paramètres!$A$1:$I$89,5,0)</f>
        <v>57.72623999999999</v>
      </c>
      <c r="AK15" s="14">
        <f t="shared" si="35"/>
        <v>16.59210497713789</v>
      </c>
      <c r="AL15" s="22">
        <f t="shared" si="4"/>
        <v>129.43778416851515</v>
      </c>
      <c r="AM15" s="62">
        <f t="shared" si="5"/>
        <v>368.57152295387851</v>
      </c>
      <c r="AN15" s="62">
        <f ca="1">AVERAGE(OFFSET($AM$3,0,0,'Données projet'!$E$10+1,1))-AVERAGE(OFFSET($H$3,0,0,'Données projet'!$E$10+1,1))</f>
        <v>251.79502399207217</v>
      </c>
      <c r="AO15" s="62">
        <f t="shared" si="36"/>
        <v>353.30085932455904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6.5536884645462603</v>
      </c>
      <c r="AX15" s="23">
        <f t="shared" si="6"/>
        <v>6.5536884645462603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61.218292396008188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1.4255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5.2268333333333334</v>
      </c>
      <c r="H16" s="70">
        <f t="shared" si="1"/>
        <v>222.1695666666667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3.95</v>
      </c>
      <c r="N16" s="14">
        <f>IF('Données projet'!$A$36&gt;35,N15+M16-V15,IF(A16&lt;'Données projet'!$A$36,$K$205^A16,IF(A16='Données projet'!$A$36,'Données projet'!$B$36,N15+M16-V15)))</f>
        <v>17.118180812297407</v>
      </c>
      <c r="O16" s="14">
        <f>N16*VLOOKUP('Données projet'!$B$9,Paramètres!$A$1:$I$89,3,0)*VLOOKUP('Données projet'!$B$9,Paramètres!$A$1:$I$89,5,0)</f>
        <v>17.891922585013251</v>
      </c>
      <c r="P16" s="14">
        <f t="shared" si="33"/>
        <v>5.8938597780550745</v>
      </c>
      <c r="Q16" s="22">
        <f t="shared" si="2"/>
        <v>41.426904282343997</v>
      </c>
      <c r="R16" s="62">
        <f t="shared" si="0"/>
        <v>282.34145626782799</v>
      </c>
      <c r="S16" s="62">
        <f ca="1">AVERAGE(OFFSET($R$3,0,0,'Données projet'!$E$9+1,1))-AVERAGE(OFFSET($H$3,0,0,'Données projet'!$E$9+1,1))</f>
        <v>326.68822125342342</v>
      </c>
      <c r="T16" s="62">
        <f t="shared" si="34"/>
        <v>332.44447101343894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8.4</v>
      </c>
      <c r="AI16" s="14">
        <f>IF('Données projet'!$A$62&gt;35,AI15+AH16-AQ15,IF(A16&lt;'Données projet'!$A$62,$AF$205^A16,IF(A16='Données projet'!$A$62,'Données projet'!$B$62,AI15+AH16-AQ15)))</f>
        <v>72.199999999999989</v>
      </c>
      <c r="AJ16" s="14">
        <f>AI16*VLOOKUP('Données projet'!$B$10,Paramètres!$A$1:$I$89,3,0)*VLOOKUP('Données projet'!$B$10,Paramètres!$A$1:$I$89,5,0)</f>
        <v>65.326559999999986</v>
      </c>
      <c r="AK16" s="14">
        <f t="shared" si="35"/>
        <v>18.508251950337144</v>
      </c>
      <c r="AL16" s="22">
        <f t="shared" si="4"/>
        <v>146.0122974801705</v>
      </c>
      <c r="AM16" s="62">
        <f t="shared" si="5"/>
        <v>386.92684946565447</v>
      </c>
      <c r="AN16" s="62">
        <f ca="1">AVERAGE(OFFSET($AM$3,0,0,'Données projet'!$E$10+1,1))-AVERAGE(OFFSET($H$3,0,0,'Données projet'!$E$10+1,1))</f>
        <v>251.79502399207217</v>
      </c>
      <c r="AO16" s="62">
        <f t="shared" si="36"/>
        <v>353.30085932455904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4.6341575550647134</v>
      </c>
      <c r="AX16" s="23">
        <f t="shared" si="6"/>
        <v>4.6341575550647134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61.370635389980471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1.4255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5.2268333333333334</v>
      </c>
      <c r="H17" s="70">
        <f t="shared" si="1"/>
        <v>222.1695666666667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3.95</v>
      </c>
      <c r="N17" s="14">
        <f>IF('Données projet'!$A$36&gt;35,N16+M17-V16,IF(A17&lt;'Données projet'!$A$36,$K$205^A17,IF(A17='Données projet'!$A$36,'Données projet'!$B$36,N16+M17-V16)))</f>
        <v>21.298006924699145</v>
      </c>
      <c r="O17" s="14">
        <f>N17*VLOOKUP('Données projet'!$B$9,Paramètres!$A$1:$I$89,3,0)*VLOOKUP('Données projet'!$B$9,Paramètres!$A$1:$I$89,5,0)</f>
        <v>22.260676837695549</v>
      </c>
      <c r="P17" s="14">
        <f t="shared" si="33"/>
        <v>7.1488628316269542</v>
      </c>
      <c r="Q17" s="22">
        <f t="shared" si="2"/>
        <v>51.221614924070018</v>
      </c>
      <c r="R17" s="62">
        <f t="shared" si="0"/>
        <v>293.90728980503036</v>
      </c>
      <c r="S17" s="62">
        <f ca="1">AVERAGE(OFFSET($R$3,0,0,'Données projet'!$E$9+1,1))-AVERAGE(OFFSET($H$3,0,0,'Données projet'!$E$9+1,1))</f>
        <v>326.68822125342342</v>
      </c>
      <c r="T17" s="62">
        <f t="shared" si="34"/>
        <v>332.44447101343894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8.4</v>
      </c>
      <c r="AI17" s="14">
        <f>IF('Données projet'!$A$62&gt;35,AI16+AH17-AQ16,IF(A17&lt;'Données projet'!$A$62,$AF$205^A17,IF(A17='Données projet'!$A$62,'Données projet'!$B$62,AI16+AH17-AQ16)))</f>
        <v>80.599999999999994</v>
      </c>
      <c r="AJ17" s="14">
        <f>AI17*VLOOKUP('Données projet'!$B$10,Paramètres!$A$1:$I$89,3,0)*VLOOKUP('Données projet'!$B$10,Paramètres!$A$1:$I$89,5,0)</f>
        <v>72.926879999999983</v>
      </c>
      <c r="AK17" s="14">
        <f t="shared" si="35"/>
        <v>20.398563182833673</v>
      </c>
      <c r="AL17" s="22">
        <f t="shared" si="4"/>
        <v>162.54181354343527</v>
      </c>
      <c r="AM17" s="62">
        <f t="shared" si="5"/>
        <v>405.22748842439563</v>
      </c>
      <c r="AN17" s="62">
        <f ca="1">AVERAGE(OFFSET($AM$3,0,0,'Données projet'!$E$10+1,1))-AVERAGE(OFFSET($H$3,0,0,'Données projet'!$E$10+1,1))</f>
        <v>251.79502399207217</v>
      </c>
      <c r="AO17" s="62">
        <f t="shared" si="36"/>
        <v>353.30085932455904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3.2768442322731306</v>
      </c>
      <c r="AX17" s="23">
        <f t="shared" si="6"/>
        <v>3.2768442322731306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61.520335573595247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1.4255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5.2268333333333334</v>
      </c>
      <c r="H18" s="70">
        <f t="shared" si="1"/>
        <v>222.1695666666667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3.95</v>
      </c>
      <c r="N18" s="14">
        <f>IF('Données projet'!$A$36&gt;35,N17+M18-V17,IF(A18&lt;'Données projet'!$A$36,$K$205^A18,IF(A18='Données projet'!$A$36,'Données projet'!$B$36,N17+M18-V17)))</f>
        <v>26.498440689367563</v>
      </c>
      <c r="O18" s="14">
        <f>N18*VLOOKUP('Données projet'!$B$9,Paramètres!$A$1:$I$89,3,0)*VLOOKUP('Données projet'!$B$9,Paramètres!$A$1:$I$89,5,0)</f>
        <v>27.696170208526979</v>
      </c>
      <c r="P18" s="14">
        <f t="shared" si="33"/>
        <v>8.6710986874346645</v>
      </c>
      <c r="Q18" s="22">
        <f t="shared" si="2"/>
        <v>63.339659993799863</v>
      </c>
      <c r="R18" s="62">
        <f t="shared" si="0"/>
        <v>307.78693557071369</v>
      </c>
      <c r="S18" s="62">
        <f ca="1">AVERAGE(OFFSET($R$3,0,0,'Données projet'!$E$9+1,1))-AVERAGE(OFFSET($H$3,0,0,'Données projet'!$E$9+1,1))</f>
        <v>326.68822125342342</v>
      </c>
      <c r="T18" s="62">
        <f t="shared" si="34"/>
        <v>332.44447101343894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89</v>
      </c>
      <c r="AG18" s="13">
        <f>VLOOKUP(A18,'Données projet'!$A$61:$I$81,9,0)</f>
        <v>8.4</v>
      </c>
      <c r="AH18" s="13">
        <f t="array" ref="AH18">INDEX(AG:AG,MIN(IF(ISNUMBER(AG18:AG214),ROW(AG18:AG214),"")))</f>
        <v>8.4</v>
      </c>
      <c r="AI18" s="14">
        <f>IF('Données projet'!$A$62&gt;35,AI17+AH18-AQ17,IF(A18&lt;'Données projet'!$A$62,$AF$205^A18,IF(A18='Données projet'!$A$62,'Données projet'!$B$62,AI17+AH18-AQ17)))</f>
        <v>89</v>
      </c>
      <c r="AJ18" s="14">
        <f>AI18*VLOOKUP('Données projet'!$B$10,Paramètres!$A$1:$I$89,3,0)*VLOOKUP('Données projet'!$B$10,Paramètres!$A$1:$I$89,5,0)</f>
        <v>80.527199999999993</v>
      </c>
      <c r="AK18" s="14">
        <f t="shared" si="35"/>
        <v>22.266037950985503</v>
      </c>
      <c r="AL18" s="22">
        <f t="shared" si="4"/>
        <v>179.03155609796639</v>
      </c>
      <c r="AM18" s="62">
        <f t="shared" si="5"/>
        <v>423.47883167488021</v>
      </c>
      <c r="AN18" s="62">
        <f ca="1">AVERAGE(OFFSET($AM$3,0,0,'Données projet'!$E$10+1,1))-AVERAGE(OFFSET($H$3,0,0,'Données projet'!$E$10+1,1))</f>
        <v>251.79502399207217</v>
      </c>
      <c r="AO18" s="62">
        <f t="shared" si="36"/>
        <v>353.30085932455904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13.415219757886774</v>
      </c>
      <c r="AX18" s="23">
        <f t="shared" si="6"/>
        <v>13.415219757886774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61.667438793703781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1.4255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5.2268333333333334</v>
      </c>
      <c r="H19" s="70">
        <f t="shared" si="1"/>
        <v>222.1695666666667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3.95</v>
      </c>
      <c r="N19" s="14">
        <f>IF('Données projet'!$A$36&gt;35,N18+M19-V18,IF(A19&lt;'Données projet'!$A$36,$K$205^A19,IF(A19='Données projet'!$A$36,'Données projet'!$B$36,N18+M19-V18)))</f>
        <v>32.968688640702432</v>
      </c>
      <c r="O19" s="14">
        <f>N19*VLOOKUP('Données projet'!$B$9,Paramètres!$A$1:$I$89,3,0)*VLOOKUP('Données projet'!$B$9,Paramètres!$A$1:$I$89,5,0)</f>
        <v>34.458873367262186</v>
      </c>
      <c r="P19" s="14">
        <f t="shared" si="33"/>
        <v>10.517470291162342</v>
      </c>
      <c r="Q19" s="22">
        <f t="shared" si="2"/>
        <v>78.333798538422712</v>
      </c>
      <c r="R19" s="62">
        <f t="shared" si="0"/>
        <v>324.53331780064042</v>
      </c>
      <c r="S19" s="62">
        <f ca="1">AVERAGE(OFFSET($R$3,0,0,'Données projet'!$E$9+1,1))-AVERAGE(OFFSET($H$3,0,0,'Données projet'!$E$9+1,1))</f>
        <v>326.68822125342342</v>
      </c>
      <c r="T19" s="62">
        <f t="shared" si="34"/>
        <v>332.44447101343894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7.6</v>
      </c>
      <c r="AI19" s="14">
        <f>IF('Données projet'!$A$62&gt;35,AI18+AH19-AQ18,IF(A19&lt;'Données projet'!$A$62,$AF$205^A19,IF(A19='Données projet'!$A$62,'Données projet'!$B$62,AI18+AH19-AQ18)))</f>
        <v>83.6</v>
      </c>
      <c r="AJ19" s="14">
        <f>AI19*VLOOKUP('Données projet'!$B$10,Paramètres!$A$1:$I$89,3,0)*VLOOKUP('Données projet'!$B$10,Paramètres!$A$1:$I$89,5,0)</f>
        <v>75.641279999999995</v>
      </c>
      <c r="AK19" s="14">
        <f t="shared" si="35"/>
        <v>21.068004470152093</v>
      </c>
      <c r="AL19" s="22">
        <f t="shared" si="4"/>
        <v>168.4353371188482</v>
      </c>
      <c r="AM19" s="62">
        <f t="shared" si="5"/>
        <v>414.6348563810659</v>
      </c>
      <c r="AN19" s="62">
        <f ca="1">AVERAGE(OFFSET($AM$3,0,0,'Données projet'!$E$10+1,1))-AVERAGE(OFFSET($H$3,0,0,'Données projet'!$E$10+1,1))</f>
        <v>251.79502399207217</v>
      </c>
      <c r="AO19" s="62">
        <f t="shared" si="36"/>
        <v>353.30085932455904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9.4859928619094926</v>
      </c>
      <c r="AX19" s="23">
        <f t="shared" si="6"/>
        <v>9.4859928619094926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61.81199010181696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1.4255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5.2268333333333334</v>
      </c>
      <c r="H20" s="70">
        <f t="shared" si="1"/>
        <v>222.1695666666667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3.95</v>
      </c>
      <c r="N20" s="14">
        <f>IF('Données projet'!$A$36&gt;35,N19+M20-V19,IF(A20&lt;'Données projet'!$A$36,$K$205^A20,IF(A20='Données projet'!$A$36,'Données projet'!$B$36,N19+M20-V19)))</f>
        <v>41.018807235842807</v>
      </c>
      <c r="O20" s="14">
        <f>N20*VLOOKUP('Données projet'!$B$9,Paramètres!$A$1:$I$89,3,0)*VLOOKUP('Données projet'!$B$9,Paramètres!$A$1:$I$89,5,0)</f>
        <v>42.87285732290291</v>
      </c>
      <c r="P20" s="14">
        <f t="shared" si="33"/>
        <v>12.756997159515485</v>
      </c>
      <c r="Q20" s="22">
        <f t="shared" si="2"/>
        <v>96.888663223545379</v>
      </c>
      <c r="R20" s="62">
        <f t="shared" si="0"/>
        <v>344.83123148363302</v>
      </c>
      <c r="S20" s="62">
        <f ca="1">AVERAGE(OFFSET($R$3,0,0,'Données projet'!$E$9+1,1))-AVERAGE(OFFSET($H$3,0,0,'Données projet'!$E$9+1,1))</f>
        <v>326.68822125342342</v>
      </c>
      <c r="T20" s="62">
        <f t="shared" si="34"/>
        <v>332.44447101343894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7.6</v>
      </c>
      <c r="AI20" s="14">
        <f>IF('Données projet'!$A$62&gt;35,AI19+AH20-AQ19,IF(A20&lt;'Données projet'!$A$62,$AF$205^A20,IF(A20='Données projet'!$A$62,'Données projet'!$B$62,AI19+AH20-AQ19)))</f>
        <v>91.199999999999989</v>
      </c>
      <c r="AJ20" s="14">
        <f>AI20*VLOOKUP('Données projet'!$B$10,Paramètres!$A$1:$I$89,3,0)*VLOOKUP('Données projet'!$B$10,Paramètres!$A$1:$I$89,5,0)</f>
        <v>82.517759999999981</v>
      </c>
      <c r="AK20" s="14">
        <f t="shared" si="35"/>
        <v>22.751674941896663</v>
      </c>
      <c r="AL20" s="22">
        <f t="shared" si="4"/>
        <v>183.34426585713663</v>
      </c>
      <c r="AM20" s="62">
        <f t="shared" si="5"/>
        <v>431.28683411722432</v>
      </c>
      <c r="AN20" s="62">
        <f ca="1">AVERAGE(OFFSET($AM$3,0,0,'Données projet'!$E$10+1,1))-AVERAGE(OFFSET($H$3,0,0,'Données projet'!$E$10+1,1))</f>
        <v>251.79502399207217</v>
      </c>
      <c r="AO20" s="62">
        <f t="shared" si="36"/>
        <v>353.30085932455904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6.707609878943388</v>
      </c>
      <c r="AX20" s="23">
        <f t="shared" si="6"/>
        <v>6.707609878943388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61.954033767902686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1.4255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5.2268333333333334</v>
      </c>
      <c r="H21" s="70">
        <f t="shared" si="1"/>
        <v>222.1695666666667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3.95</v>
      </c>
      <c r="N21" s="14">
        <f>IF('Données projet'!$A$36&gt;35,N20+M21-V20,IF(A21&lt;'Données projet'!$A$36,$K$205^A21,IF(A21='Données projet'!$A$36,'Données projet'!$B$36,N20+M21-V20)))</f>
        <v>51.034560864334757</v>
      </c>
      <c r="O21" s="14">
        <f>N21*VLOOKUP('Données projet'!$B$9,Paramètres!$A$1:$I$89,3,0)*VLOOKUP('Données projet'!$B$9,Paramètres!$A$1:$I$89,5,0)</f>
        <v>53.341323015402693</v>
      </c>
      <c r="P21" s="14">
        <f t="shared" si="33"/>
        <v>15.473395409981302</v>
      </c>
      <c r="Q21" s="22">
        <f t="shared" si="2"/>
        <v>119.85230125754379</v>
      </c>
      <c r="R21" s="62">
        <f t="shared" si="0"/>
        <v>369.52888333533804</v>
      </c>
      <c r="S21" s="62">
        <f ca="1">AVERAGE(OFFSET($R$3,0,0,'Données projet'!$E$9+1,1))-AVERAGE(OFFSET($H$3,0,0,'Données projet'!$E$9+1,1))</f>
        <v>326.68822125342342</v>
      </c>
      <c r="T21" s="62">
        <f t="shared" si="34"/>
        <v>332.44447101343894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7.6</v>
      </c>
      <c r="AI21" s="14">
        <f>IF('Données projet'!$A$62&gt;35,AI20+AH21-AQ20,IF(A21&lt;'Données projet'!$A$62,$AF$205^A21,IF(A21='Données projet'!$A$62,'Données projet'!$B$62,AI20+AH21-AQ20)))</f>
        <v>98.799999999999983</v>
      </c>
      <c r="AJ21" s="14">
        <f>AI21*VLOOKUP('Données projet'!$B$10,Paramètres!$A$1:$I$89,3,0)*VLOOKUP('Données projet'!$B$10,Paramètres!$A$1:$I$89,5,0)</f>
        <v>89.394239999999982</v>
      </c>
      <c r="AK21" s="14">
        <f t="shared" si="35"/>
        <v>24.419072895797868</v>
      </c>
      <c r="AL21" s="22">
        <f t="shared" si="4"/>
        <v>198.22485329351457</v>
      </c>
      <c r="AM21" s="62">
        <f t="shared" si="5"/>
        <v>447.90143537130882</v>
      </c>
      <c r="AN21" s="62">
        <f ca="1">AVERAGE(OFFSET($AM$3,0,0,'Données projet'!$E$10+1,1))-AVERAGE(OFFSET($H$3,0,0,'Données projet'!$E$10+1,1))</f>
        <v>251.79502399207217</v>
      </c>
      <c r="AO21" s="62">
        <f t="shared" si="36"/>
        <v>353.30085932455904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4.7429964309547472</v>
      </c>
      <c r="AX21" s="23">
        <f t="shared" si="6"/>
        <v>4.7429964309547472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62.093613293943889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1.4255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5.2268333333333334</v>
      </c>
      <c r="H22" s="70">
        <f t="shared" si="1"/>
        <v>222.1695666666667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3.95</v>
      </c>
      <c r="N22" s="14">
        <f>IF('Données projet'!$A$36&gt;35,N21+M22-V21,IF(A22&lt;'Données projet'!$A$36,$K$205^A22,IF(A22='Données projet'!$A$36,'Données projet'!$B$36,N21+M22-V21)))</f>
        <v>63.495907807373236</v>
      </c>
      <c r="O22" s="14">
        <f>N22*VLOOKUP('Données projet'!$B$9,Paramètres!$A$1:$I$89,3,0)*VLOOKUP('Données projet'!$B$9,Paramètres!$A$1:$I$89,5,0)</f>
        <v>66.365922840266506</v>
      </c>
      <c r="P22" s="14">
        <f t="shared" si="33"/>
        <v>18.768207166609105</v>
      </c>
      <c r="Q22" s="22">
        <f t="shared" si="2"/>
        <v>148.27527642864169</v>
      </c>
      <c r="R22" s="62">
        <f t="shared" si="0"/>
        <v>399.67699388415554</v>
      </c>
      <c r="S22" s="62">
        <f ca="1">AVERAGE(OFFSET($R$3,0,0,'Données projet'!$E$9+1,1))-AVERAGE(OFFSET($H$3,0,0,'Données projet'!$E$9+1,1))</f>
        <v>326.68822125342342</v>
      </c>
      <c r="T22" s="62">
        <f t="shared" si="34"/>
        <v>332.44447101343894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7.6</v>
      </c>
      <c r="AI22" s="14">
        <f>IF('Données projet'!$A$62&gt;35,AI21+AH22-AQ21,IF(A22&lt;'Données projet'!$A$62,$AF$205^A22,IF(A22='Données projet'!$A$62,'Données projet'!$B$62,AI21+AH22-AQ21)))</f>
        <v>106.39999999999998</v>
      </c>
      <c r="AJ22" s="14">
        <f>AI22*VLOOKUP('Données projet'!$B$10,Paramètres!$A$1:$I$89,3,0)*VLOOKUP('Données projet'!$B$10,Paramètres!$A$1:$I$89,5,0)</f>
        <v>96.270719999999969</v>
      </c>
      <c r="AK22" s="14">
        <f t="shared" si="35"/>
        <v>26.071592384845928</v>
      </c>
      <c r="AL22" s="22">
        <f t="shared" si="4"/>
        <v>213.07952740360659</v>
      </c>
      <c r="AM22" s="62">
        <f t="shared" si="5"/>
        <v>464.48124485912047</v>
      </c>
      <c r="AN22" s="62">
        <f ca="1">AVERAGE(OFFSET($AM$3,0,0,'Données projet'!$E$10+1,1))-AVERAGE(OFFSET($H$3,0,0,'Données projet'!$E$10+1,1))</f>
        <v>251.79502399207217</v>
      </c>
      <c r="AO22" s="62">
        <f t="shared" si="36"/>
        <v>353.30085932455904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3.3538049394716944</v>
      </c>
      <c r="AX22" s="23">
        <f t="shared" si="6"/>
        <v>3.3538049394716944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62.230771427261352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1.4255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5.2268333333333334</v>
      </c>
      <c r="H23" s="70">
        <f t="shared" si="1"/>
        <v>222.1695666666667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79</v>
      </c>
      <c r="L23" s="13">
        <f>VLOOKUP(A23,'Données projet'!$A$35:$I$55,9,0)</f>
        <v>3.95</v>
      </c>
      <c r="M23" s="13">
        <f t="array" ref="M23">INDEX(L:L,MIN(IF(ISNUMBER(L23:L219),ROW(L23:L219),"")))</f>
        <v>3.95</v>
      </c>
      <c r="N23" s="14">
        <f>IF('Données projet'!$A$36&gt;35,N22+M23-V22,IF(A23&lt;'Données projet'!$A$36,$K$205^A23,IF(A23='Données projet'!$A$36,'Données projet'!$B$36,N22+M23-V22)))</f>
        <v>79</v>
      </c>
      <c r="O23" s="14">
        <f>N23*VLOOKUP('Données projet'!$B$9,Paramètres!$A$1:$I$89,3,0)*VLOOKUP('Données projet'!$B$9,Paramètres!$A$1:$I$89,5,0)</f>
        <v>82.570800000000006</v>
      </c>
      <c r="P23" s="14">
        <f t="shared" si="33"/>
        <v>22.764596322636297</v>
      </c>
      <c r="Q23" s="22">
        <f t="shared" si="2"/>
        <v>183.4591485952582</v>
      </c>
      <c r="R23" s="62">
        <f t="shared" si="0"/>
        <v>436.57727700958912</v>
      </c>
      <c r="S23" s="62">
        <f ca="1">AVERAGE(OFFSET($R$3,0,0,'Données projet'!$E$9+1,1))-AVERAGE(OFFSET($H$3,0,0,'Données projet'!$E$9+1,1))</f>
        <v>326.68822125342342</v>
      </c>
      <c r="T23" s="62">
        <f t="shared" si="34"/>
        <v>332.44447101343894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17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114</v>
      </c>
      <c r="AG23" s="13">
        <f>VLOOKUP(A23,'Données projet'!$A$61:$I$81,9,0)</f>
        <v>7.6</v>
      </c>
      <c r="AH23" s="13">
        <f t="array" ref="AH23">INDEX(AG:AG,MIN(IF(ISNUMBER(AG23:AG219),ROW(AG23:AG219),"")))</f>
        <v>7.6</v>
      </c>
      <c r="AI23" s="14">
        <f>IF('Données projet'!$A$62&gt;35,AI22+AH23-AQ22,IF(A23&lt;'Données projet'!$A$62,$AF$205^A23,IF(A23='Données projet'!$A$62,'Données projet'!$B$62,AI22+AH23-AQ22)))</f>
        <v>113.99999999999997</v>
      </c>
      <c r="AJ23" s="14">
        <f>AI23*VLOOKUP('Données projet'!$B$10,Paramètres!$A$1:$I$89,3,0)*VLOOKUP('Données projet'!$B$10,Paramètres!$A$1:$I$89,5,0)</f>
        <v>103.14719999999997</v>
      </c>
      <c r="AK23" s="14">
        <f t="shared" si="35"/>
        <v>27.710417026801451</v>
      </c>
      <c r="AL23" s="22">
        <f t="shared" si="4"/>
        <v>227.91034965501248</v>
      </c>
      <c r="AM23" s="62">
        <f t="shared" si="5"/>
        <v>481.02847806934341</v>
      </c>
      <c r="AN23" s="62">
        <f ca="1">AVERAGE(OFFSET($AM$3,0,0,'Données projet'!$E$10+1,1))-AVERAGE(OFFSET($H$3,0,0,'Données projet'!$E$10+1,1))</f>
        <v>251.79502399207217</v>
      </c>
      <c r="AO23" s="62">
        <f t="shared" si="36"/>
        <v>353.30085932455904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10</v>
      </c>
      <c r="AR23" s="17">
        <f>IF(ISNA(VLOOKUP(A23,'Données projet'!$A$61:$I$81,5,0)),0%,VLOOKUP(A23,'Données projet'!$A$61:$I$81,5,0)*VLOOKUP('Données projet'!$B$10,Paramètres!$A$1:$I$89,7,0))</f>
        <v>0.06</v>
      </c>
      <c r="AS23" s="17">
        <f>IF(ISNA(VLOOKUP(A23,'Données projet'!$A$61:$I$81,6,0)),0%,VLOOKUP(A23,'Données projet'!$A$61:$I$81,6,0)*VLOOKUP('Données projet'!$B$10,Paramètres!$A$1:$I$89,7,0))</f>
        <v>0.09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projet'!$B$10,Paramètres!$A$1:$I$89,3,0)*0.475*44/12</f>
        <v>0.60013775964084792</v>
      </c>
      <c r="AV23" s="23">
        <f>EXP(-LN(2)/25)*AV22+(1-EXP(-LN(2)/25))/(LN(2)/25)*Calculateur!AQ23*Calculateur!AS23*VLOOKUP('Données projet'!$B$10,Paramètres!$A$1:$I$89,3,0)*0.475*44/12</f>
        <v>0.89666218291609179</v>
      </c>
      <c r="AW23" s="23">
        <f>EXP(-LN(2)/2)*AW22+(1-EXP(-LN(2)/2))/(LN(2)/2)*AQ23*AT23*VLOOKUP('Données projet'!$B$10,Paramètres!$A$1:$I$89,3,0)*0.475*44/12</f>
        <v>6.6400139771521509</v>
      </c>
      <c r="AX23" s="23">
        <f t="shared" si="6"/>
        <v>8.1368139197090912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62.365550173605399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1.4255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5.2268333333333334</v>
      </c>
      <c r="H24" s="70">
        <f t="shared" si="1"/>
        <v>222.1695666666667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</v>
      </c>
      <c r="N24" s="14">
        <f>IF('Données projet'!$A$36&gt;35,N23+M24-V23,IF(A24&lt;'Données projet'!$A$36,$K$205^A24,IF(A24='Données projet'!$A$36,'Données projet'!$B$36,N23+M24-V23)))</f>
        <v>71</v>
      </c>
      <c r="O24" s="14">
        <f>N24*VLOOKUP('Données projet'!$B$9,Paramètres!$A$1:$I$89,3,0)*VLOOKUP('Données projet'!$B$9,Paramètres!$A$1:$I$89,5,0)</f>
        <v>74.20920000000001</v>
      </c>
      <c r="P24" s="14">
        <f t="shared" si="33"/>
        <v>20.71517147214108</v>
      </c>
      <c r="Q24" s="22">
        <f t="shared" si="2"/>
        <v>165.3266136473124</v>
      </c>
      <c r="R24" s="62">
        <f t="shared" si="0"/>
        <v>420.15257995072102</v>
      </c>
      <c r="S24" s="62">
        <f ca="1">AVERAGE(OFFSET($R$3,0,0,'Données projet'!$E$9+1,1))-AVERAGE(OFFSET($H$3,0,0,'Données projet'!$E$9+1,1))</f>
        <v>326.68822125342342</v>
      </c>
      <c r="T24" s="62">
        <f t="shared" si="34"/>
        <v>332.44447101343894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6.4</v>
      </c>
      <c r="AI24" s="14">
        <f>IF('Données projet'!$A$62&gt;35,AI23+AH24-AQ23,IF(A24&lt;'Données projet'!$A$62,$AF$205^A24,IF(A24='Données projet'!$A$62,'Données projet'!$B$62,AI23+AH24-AQ23)))</f>
        <v>110.39999999999998</v>
      </c>
      <c r="AJ24" s="14">
        <f>AI24*VLOOKUP('Données projet'!$B$10,Paramètres!$A$1:$I$89,3,0)*VLOOKUP('Données projet'!$B$10,Paramètres!$A$1:$I$89,5,0)</f>
        <v>99.889919999999975</v>
      </c>
      <c r="AK24" s="14">
        <f t="shared" si="35"/>
        <v>26.935770825480166</v>
      </c>
      <c r="AL24" s="22">
        <f t="shared" si="4"/>
        <v>220.88807818771124</v>
      </c>
      <c r="AM24" s="62">
        <f t="shared" si="5"/>
        <v>475.71404449111981</v>
      </c>
      <c r="AN24" s="62">
        <f ca="1">AVERAGE(OFFSET($AM$3,0,0,'Données projet'!$E$10+1,1))-AVERAGE(OFFSET($H$3,0,0,'Données projet'!$E$10+1,1))</f>
        <v>251.79502399207217</v>
      </c>
      <c r="AO24" s="62">
        <f t="shared" si="36"/>
        <v>353.30085932455904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0.58836942422218008</v>
      </c>
      <c r="AV24" s="23">
        <f>EXP(-LN(2)/25)*AV23+(1-EXP(-LN(2)/25))/(LN(2)/25)*Calculateur!AQ24*Calculateur!AS24*VLOOKUP('Données projet'!$B$10,Paramètres!$A$1:$I$89,3,0)*0.475*44/12</f>
        <v>0.87214290837083641</v>
      </c>
      <c r="AW24" s="23">
        <f>EXP(-LN(2)/2)*AW23+(1-EXP(-LN(2)/2))/(LN(2)/2)*AQ24*AT24*VLOOKUP('Données projet'!$B$10,Paramètres!$A$1:$I$89,3,0)*0.475*44/12</f>
        <v>4.6951989104177434</v>
      </c>
      <c r="AX24" s="23">
        <f t="shared" si="6"/>
        <v>6.1557112430107601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62.497990810020518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1.4255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5.2268333333333334</v>
      </c>
      <c r="H25" s="70">
        <f t="shared" si="1"/>
        <v>222.1695666666667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</v>
      </c>
      <c r="N25" s="14">
        <f>IF('Données projet'!$A$36&gt;35,N24+M25-V24,IF(A25&lt;'Données projet'!$A$36,$K$205^A25,IF(A25='Données projet'!$A$36,'Données projet'!$B$36,N24+M25-V24)))</f>
        <v>80</v>
      </c>
      <c r="O25" s="14">
        <f>N25*VLOOKUP('Données projet'!$B$9,Paramètres!$A$1:$I$89,3,0)*VLOOKUP('Données projet'!$B$9,Paramètres!$A$1:$I$89,5,0)</f>
        <v>83.616</v>
      </c>
      <c r="P25" s="14">
        <f t="shared" si="33"/>
        <v>23.019027308735705</v>
      </c>
      <c r="Q25" s="22">
        <f t="shared" si="2"/>
        <v>185.72267256271468</v>
      </c>
      <c r="R25" s="62">
        <f t="shared" si="0"/>
        <v>442.24805240905494</v>
      </c>
      <c r="S25" s="62">
        <f ca="1">AVERAGE(OFFSET($R$3,0,0,'Données projet'!$E$9+1,1))-AVERAGE(OFFSET($H$3,0,0,'Données projet'!$E$9+1,1))</f>
        <v>326.68822125342342</v>
      </c>
      <c r="T25" s="62">
        <f t="shared" si="34"/>
        <v>332.44447101343894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6.4</v>
      </c>
      <c r="AI25" s="14">
        <f>IF('Données projet'!$A$62&gt;35,AI24+AH25-AQ24,IF(A25&lt;'Données projet'!$A$62,$AF$205^A25,IF(A25='Données projet'!$A$62,'Données projet'!$B$62,AI24+AH25-AQ24)))</f>
        <v>116.79999999999998</v>
      </c>
      <c r="AJ25" s="14">
        <f>AI25*VLOOKUP('Données projet'!$B$10,Paramètres!$A$1:$I$89,3,0)*VLOOKUP('Données projet'!$B$10,Paramètres!$A$1:$I$89,5,0)</f>
        <v>105.68063999999998</v>
      </c>
      <c r="AK25" s="14">
        <f t="shared" si="35"/>
        <v>28.31094923104175</v>
      </c>
      <c r="AL25" s="22">
        <f t="shared" si="4"/>
        <v>233.36868457739766</v>
      </c>
      <c r="AM25" s="62">
        <f t="shared" si="5"/>
        <v>489.89406442373797</v>
      </c>
      <c r="AN25" s="62">
        <f ca="1">AVERAGE(OFFSET($AM$3,0,0,'Données projet'!$E$10+1,1))-AVERAGE(OFFSET($H$3,0,0,'Données projet'!$E$10+1,1))</f>
        <v>251.79502399207217</v>
      </c>
      <c r="AO25" s="62">
        <f t="shared" si="36"/>
        <v>353.30085932455904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0.5768318586830965</v>
      </c>
      <c r="AV25" s="23">
        <f>EXP(-LN(2)/25)*AV24+(1-EXP(-LN(2)/25))/(LN(2)/25)*Calculateur!AQ25*Calculateur!AS25*VLOOKUP('Données projet'!$B$10,Paramètres!$A$1:$I$89,3,0)*0.475*44/12</f>
        <v>0.84829411467743365</v>
      </c>
      <c r="AW25" s="23">
        <f>EXP(-LN(2)/2)*AW24+(1-EXP(-LN(2)/2))/(LN(2)/2)*AQ25*AT25*VLOOKUP('Données projet'!$B$10,Paramètres!$A$1:$I$89,3,0)*0.475*44/12</f>
        <v>3.3200069885760759</v>
      </c>
      <c r="AX25" s="23">
        <f t="shared" si="6"/>
        <v>4.7451329619366058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62.628133897486741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1.4255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5.2268333333333334</v>
      </c>
      <c r="H26" s="70">
        <f t="shared" si="1"/>
        <v>222.1695666666667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</v>
      </c>
      <c r="N26" s="14">
        <f>IF('Données projet'!$A$36&gt;35,N25+M26-V25,IF(A26&lt;'Données projet'!$A$36,$K$205^A26,IF(A26='Données projet'!$A$36,'Données projet'!$B$36,N25+M26-V25)))</f>
        <v>89</v>
      </c>
      <c r="O26" s="14">
        <f>N26*VLOOKUP('Données projet'!$B$9,Paramètres!$A$1:$I$89,3,0)*VLOOKUP('Données projet'!$B$9,Paramètres!$A$1:$I$89,5,0)</f>
        <v>93.022800000000004</v>
      </c>
      <c r="P26" s="14">
        <f t="shared" si="33"/>
        <v>25.292844006107522</v>
      </c>
      <c r="Q26" s="22">
        <f t="shared" si="2"/>
        <v>206.06641331063727</v>
      </c>
      <c r="R26" s="62">
        <f t="shared" si="0"/>
        <v>464.28292849733486</v>
      </c>
      <c r="S26" s="62">
        <f ca="1">AVERAGE(OFFSET($R$3,0,0,'Données projet'!$E$9+1,1))-AVERAGE(OFFSET($H$3,0,0,'Données projet'!$E$9+1,1))</f>
        <v>326.68822125342342</v>
      </c>
      <c r="T26" s="62">
        <f t="shared" si="34"/>
        <v>332.44447101343894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6.4</v>
      </c>
      <c r="AI26" s="14">
        <f>IF('Données projet'!$A$62&gt;35,AI25+AH26-AQ25,IF(A26&lt;'Données projet'!$A$62,$AF$205^A26,IF(A26='Données projet'!$A$62,'Données projet'!$B$62,AI25+AH26-AQ25)))</f>
        <v>123.19999999999999</v>
      </c>
      <c r="AJ26" s="14">
        <f>AI26*VLOOKUP('Données projet'!$B$10,Paramètres!$A$1:$I$89,3,0)*VLOOKUP('Données projet'!$B$10,Paramètres!$A$1:$I$89,5,0)</f>
        <v>111.47135999999999</v>
      </c>
      <c r="AK26" s="14">
        <f t="shared" si="35"/>
        <v>29.677379926628468</v>
      </c>
      <c r="AL26" s="22">
        <f t="shared" si="4"/>
        <v>245.8340553722112</v>
      </c>
      <c r="AM26" s="62">
        <f t="shared" si="5"/>
        <v>504.05057055890876</v>
      </c>
      <c r="AN26" s="62">
        <f ca="1">AVERAGE(OFFSET($AM$3,0,0,'Données projet'!$E$10+1,1))-AVERAGE(OFFSET($H$3,0,0,'Données projet'!$E$10+1,1))</f>
        <v>251.79502399207217</v>
      </c>
      <c r="AO26" s="62">
        <f t="shared" si="36"/>
        <v>353.30085932455904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0.56552053776701416</v>
      </c>
      <c r="AV26" s="23">
        <f>EXP(-LN(2)/25)*AV25+(1-EXP(-LN(2)/25))/(LN(2)/25)*Calculateur!AQ26*Calculateur!AS26*VLOOKUP('Données projet'!$B$10,Paramètres!$A$1:$I$89,3,0)*0.475*44/12</f>
        <v>0.82509746750173052</v>
      </c>
      <c r="AW26" s="23">
        <f>EXP(-LN(2)/2)*AW25+(1-EXP(-LN(2)/2))/(LN(2)/2)*AQ26*AT26*VLOOKUP('Données projet'!$B$10,Paramètres!$A$1:$I$89,3,0)*0.475*44/12</f>
        <v>2.3475994552088721</v>
      </c>
      <c r="AX26" s="23">
        <f t="shared" si="6"/>
        <v>3.7382174604776166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62.756019293341772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1.4255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5.2268333333333334</v>
      </c>
      <c r="H27" s="70">
        <f t="shared" si="1"/>
        <v>222.1695666666667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</v>
      </c>
      <c r="N27" s="14">
        <f>IF('Données projet'!$A$36&gt;35,N26+M27-V26,IF(A27&lt;'Données projet'!$A$36,$K$205^A27,IF(A27='Données projet'!$A$36,'Données projet'!$B$36,N26+M27-V26)))</f>
        <v>98</v>
      </c>
      <c r="O27" s="14">
        <f>N27*VLOOKUP('Données projet'!$B$9,Paramètres!$A$1:$I$89,3,0)*VLOOKUP('Données projet'!$B$9,Paramètres!$A$1:$I$89,5,0)</f>
        <v>102.42960000000002</v>
      </c>
      <c r="P27" s="14">
        <f t="shared" si="33"/>
        <v>27.540005085928001</v>
      </c>
      <c r="Q27" s="22">
        <f t="shared" si="2"/>
        <v>226.3637288579913</v>
      </c>
      <c r="R27" s="62">
        <f t="shared" si="0"/>
        <v>486.26324479077931</v>
      </c>
      <c r="S27" s="62">
        <f ca="1">AVERAGE(OFFSET($R$3,0,0,'Données projet'!$E$9+1,1))-AVERAGE(OFFSET($H$3,0,0,'Données projet'!$E$9+1,1))</f>
        <v>326.68822125342342</v>
      </c>
      <c r="T27" s="62">
        <f t="shared" si="34"/>
        <v>332.44447101343894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6.4</v>
      </c>
      <c r="AI27" s="14">
        <f>IF('Données projet'!$A$62&gt;35,AI26+AH27-AQ26,IF(A27&lt;'Données projet'!$A$62,$AF$205^A27,IF(A27='Données projet'!$A$62,'Données projet'!$B$62,AI26+AH27-AQ26)))</f>
        <v>129.6</v>
      </c>
      <c r="AJ27" s="14">
        <f>AI27*VLOOKUP('Données projet'!$B$10,Paramètres!$A$1:$I$89,3,0)*VLOOKUP('Données projet'!$B$10,Paramètres!$A$1:$I$89,5,0)</f>
        <v>117.26208</v>
      </c>
      <c r="AK27" s="14">
        <f t="shared" si="35"/>
        <v>31.035569170075775</v>
      </c>
      <c r="AL27" s="22">
        <f t="shared" si="4"/>
        <v>258.28507230454863</v>
      </c>
      <c r="AM27" s="62">
        <f t="shared" si="5"/>
        <v>518.18458823733658</v>
      </c>
      <c r="AN27" s="62">
        <f ca="1">AVERAGE(OFFSET($AM$3,0,0,'Données projet'!$E$10+1,1))-AVERAGE(OFFSET($H$3,0,0,'Données projet'!$E$10+1,1))</f>
        <v>251.79502399207217</v>
      </c>
      <c r="AO27" s="62">
        <f t="shared" si="36"/>
        <v>353.30085932455904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0.55443102495487173</v>
      </c>
      <c r="AV27" s="23">
        <f>EXP(-LN(2)/25)*AV26+(1-EXP(-LN(2)/25))/(LN(2)/25)*Calculateur!AQ27*Calculateur!AS27*VLOOKUP('Données projet'!$B$10,Paramètres!$A$1:$I$89,3,0)*0.475*44/12</f>
        <v>0.80253513386290565</v>
      </c>
      <c r="AW27" s="23">
        <f>EXP(-LN(2)/2)*AW26+(1-EXP(-LN(2)/2))/(LN(2)/2)*AQ27*AT27*VLOOKUP('Données projet'!$B$10,Paramètres!$A$1:$I$89,3,0)*0.475*44/12</f>
        <v>1.6600034942880382</v>
      </c>
      <c r="AX27" s="23">
        <f t="shared" si="6"/>
        <v>3.0169696531058157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62.881686163487636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1.4255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5.2268333333333334</v>
      </c>
      <c r="H28" s="70">
        <f t="shared" si="1"/>
        <v>222.1695666666667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107</v>
      </c>
      <c r="L28" s="13">
        <f>VLOOKUP(A28,'Données projet'!$A$35:$I$55,9,0)</f>
        <v>9</v>
      </c>
      <c r="M28" s="13">
        <f t="array" ref="M28">INDEX(L:L,MIN(IF(ISNUMBER(L28:L224),ROW(L28:L224),"")))</f>
        <v>9</v>
      </c>
      <c r="N28" s="14">
        <f>IF('Données projet'!$A$36&gt;35,N27+M28-V27,IF(A28&lt;'Données projet'!$A$36,$K$205^A28,IF(A28='Données projet'!$A$36,'Données projet'!$B$36,N27+M28-V27)))</f>
        <v>107</v>
      </c>
      <c r="O28" s="14">
        <f>N28*VLOOKUP('Données projet'!$B$9,Paramètres!$A$1:$I$89,3,0)*VLOOKUP('Données projet'!$B$9,Paramètres!$A$1:$I$89,5,0)</f>
        <v>111.8364</v>
      </c>
      <c r="P28" s="14">
        <f t="shared" si="33"/>
        <v>29.763236932758819</v>
      </c>
      <c r="Q28" s="22">
        <f t="shared" si="2"/>
        <v>246.61936765788826</v>
      </c>
      <c r="R28" s="62">
        <f t="shared" si="0"/>
        <v>508.193890859524</v>
      </c>
      <c r="S28" s="62">
        <f ca="1">AVERAGE(OFFSET($R$3,0,0,'Données projet'!$E$9+1,1))-AVERAGE(OFFSET($H$3,0,0,'Données projet'!$E$9+1,1))</f>
        <v>326.68822125342342</v>
      </c>
      <c r="T28" s="62">
        <f t="shared" si="34"/>
        <v>332.44447101343894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26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136</v>
      </c>
      <c r="AG28" s="13">
        <f>VLOOKUP(A28,'Données projet'!$A$61:$I$81,9,0)</f>
        <v>6.4</v>
      </c>
      <c r="AH28" s="13">
        <f t="array" ref="AH28">INDEX(AG:AG,MIN(IF(ISNUMBER(AG28:AG224),ROW(AG28:AG224),"")))</f>
        <v>6.4</v>
      </c>
      <c r="AI28" s="14">
        <f>IF('Données projet'!$A$62&gt;35,AI27+AH28-AQ27,IF(A28&lt;'Données projet'!$A$62,$AF$205^A28,IF(A28='Données projet'!$A$62,'Données projet'!$B$62,AI27+AH28-AQ27)))</f>
        <v>136</v>
      </c>
      <c r="AJ28" s="14">
        <f>AI28*VLOOKUP('Données projet'!$B$10,Paramètres!$A$1:$I$89,3,0)*VLOOKUP('Données projet'!$B$10,Paramètres!$A$1:$I$89,5,0)</f>
        <v>123.05279999999999</v>
      </c>
      <c r="AK28" s="14">
        <f t="shared" si="35"/>
        <v>32.385970393750824</v>
      </c>
      <c r="AL28" s="22">
        <f t="shared" si="4"/>
        <v>270.72252510244931</v>
      </c>
      <c r="AM28" s="62">
        <f t="shared" si="5"/>
        <v>532.29704830408502</v>
      </c>
      <c r="AN28" s="62">
        <f ca="1">AVERAGE(OFFSET($AM$3,0,0,'Données projet'!$E$10+1,1))-AVERAGE(OFFSET($H$3,0,0,'Données projet'!$E$10+1,1))</f>
        <v>251.79502399207217</v>
      </c>
      <c r="AO28" s="62">
        <f t="shared" si="36"/>
        <v>353.30085932455904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0.09</v>
      </c>
      <c r="AS28" s="17">
        <f>IF(ISNA(VLOOKUP(A28,'Données projet'!$A$61:$I$81,6,0)),0%,VLOOKUP(A28,'Données projet'!$A$61:$I$81,6,0)*VLOOKUP('Données projet'!$B$10,Paramètres!$A$1:$I$89,7,0))</f>
        <v>0.06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1.2637242822940578</v>
      </c>
      <c r="AV28" s="23">
        <f>EXP(-LN(2)/25)*AV27+(1-EXP(-LN(2)/25))/(LN(2)/25)*Calculateur!AQ28*Calculateur!AS28*VLOOKUP('Données projet'!$B$10,Paramètres!$A$1:$I$89,3,0)*0.475*44/12</f>
        <v>1.2588095993125183</v>
      </c>
      <c r="AW28" s="23">
        <f>EXP(-LN(2)/2)*AW27+(1-EXP(-LN(2)/2))/(LN(2)/2)*AQ28*AT28*VLOOKUP('Données projet'!$B$10,Paramètres!$A$1:$I$89,3,0)*0.475*44/12</f>
        <v>4.5886123369442569</v>
      </c>
      <c r="AX28" s="23">
        <f t="shared" si="6"/>
        <v>7.1111462185508332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63.005172994385504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1.4255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5.2268333333333334</v>
      </c>
      <c r="H29" s="70">
        <f t="shared" si="1"/>
        <v>222.1695666666667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89.6</v>
      </c>
      <c r="O29" s="14">
        <f>N29*VLOOKUP('Données projet'!$B$9,Paramètres!$A$1:$I$89,3,0)*VLOOKUP('Données projet'!$B$9,Paramètres!$A$1:$I$89,5,0)</f>
        <v>93.649919999999995</v>
      </c>
      <c r="P29" s="14">
        <f t="shared" si="33"/>
        <v>25.443450816014074</v>
      </c>
      <c r="Q29" s="22">
        <f t="shared" si="2"/>
        <v>207.42095417122448</v>
      </c>
      <c r="R29" s="62">
        <f t="shared" si="0"/>
        <v>470.66262983342477</v>
      </c>
      <c r="S29" s="62">
        <f ca="1">AVERAGE(OFFSET($R$3,0,0,'Données projet'!$E$9+1,1))-AVERAGE(OFFSET($H$3,0,0,'Données projet'!$E$9+1,1))</f>
        <v>326.68822125342342</v>
      </c>
      <c r="T29" s="62">
        <f t="shared" si="34"/>
        <v>332.44447101343894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5.2</v>
      </c>
      <c r="AI29" s="14">
        <f>IF('Données projet'!$A$62&gt;35,AI28+AH29-AQ28,IF(A29&lt;'Données projet'!$A$62,$AF$205^A29,IF(A29='Données projet'!$A$62,'Données projet'!$B$62,AI28+AH29-AQ28)))</f>
        <v>133.19999999999999</v>
      </c>
      <c r="AJ29" s="14">
        <f>AI29*VLOOKUP('Données projet'!$B$10,Paramètres!$A$1:$I$89,3,0)*VLOOKUP('Données projet'!$B$10,Paramètres!$A$1:$I$89,5,0)</f>
        <v>120.51935999999998</v>
      </c>
      <c r="AK29" s="14">
        <f t="shared" si="35"/>
        <v>31.796101022354524</v>
      </c>
      <c r="AL29" s="22">
        <f t="shared" si="4"/>
        <v>265.28276128060071</v>
      </c>
      <c r="AM29" s="62">
        <f t="shared" si="5"/>
        <v>528.524436942801</v>
      </c>
      <c r="AN29" s="62">
        <f ca="1">AVERAGE(OFFSET($AM$3,0,0,'Données projet'!$E$10+1,1))-AVERAGE(OFFSET($H$3,0,0,'Données projet'!$E$10+1,1))</f>
        <v>251.79502399207217</v>
      </c>
      <c r="AO29" s="62">
        <f t="shared" si="36"/>
        <v>353.30085932455904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1.2389434199139737</v>
      </c>
      <c r="AV29" s="23">
        <f>EXP(-LN(2)/25)*AV28+(1-EXP(-LN(2)/25))/(LN(2)/25)*Calculateur!AQ29*Calculateur!AS29*VLOOKUP('Données projet'!$B$10,Paramètres!$A$1:$I$89,3,0)*0.475*44/12</f>
        <v>1.2243873846213977</v>
      </c>
      <c r="AW29" s="23">
        <f>EXP(-LN(2)/2)*AW28+(1-EXP(-LN(2)/2))/(LN(2)/2)*AQ29*AT29*VLOOKUP('Données projet'!$B$10,Paramètres!$A$1:$I$89,3,0)*0.475*44/12</f>
        <v>3.2446388996895354</v>
      </c>
      <c r="AX29" s="23">
        <f t="shared" si="6"/>
        <v>5.7079697042249071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63.126517604842491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1.4255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5.2268333333333334</v>
      </c>
      <c r="H30" s="70">
        <f t="shared" si="1"/>
        <v>222.1695666666667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98.199999999999989</v>
      </c>
      <c r="O30" s="14">
        <f>N30*VLOOKUP('Données projet'!$B$9,Paramètres!$A$1:$I$89,3,0)*VLOOKUP('Données projet'!$B$9,Paramètres!$A$1:$I$89,5,0)</f>
        <v>102.63864</v>
      </c>
      <c r="P30" s="14">
        <f t="shared" si="33"/>
        <v>27.589661127483058</v>
      </c>
      <c r="Q30" s="22">
        <f t="shared" si="2"/>
        <v>226.81429113036631</v>
      </c>
      <c r="R30" s="62">
        <f t="shared" si="0"/>
        <v>491.71540070821078</v>
      </c>
      <c r="S30" s="62">
        <f ca="1">AVERAGE(OFFSET($R$3,0,0,'Données projet'!$E$9+1,1))-AVERAGE(OFFSET($H$3,0,0,'Données projet'!$E$9+1,1))</f>
        <v>326.68822125342342</v>
      </c>
      <c r="T30" s="62">
        <f t="shared" si="34"/>
        <v>332.44447101343894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5.2</v>
      </c>
      <c r="AI30" s="14">
        <f>IF('Données projet'!$A$62&gt;35,AI29+AH30-AQ29,IF(A30&lt;'Données projet'!$A$62,$AF$205^A30,IF(A30='Données projet'!$A$62,'Données projet'!$B$62,AI29+AH30-AQ29)))</f>
        <v>138.39999999999998</v>
      </c>
      <c r="AJ30" s="14">
        <f>AI30*VLOOKUP('Données projet'!$B$10,Paramètres!$A$1:$I$89,3,0)*VLOOKUP('Données projet'!$B$10,Paramètres!$A$1:$I$89,5,0)</f>
        <v>125.22431999999996</v>
      </c>
      <c r="AK30" s="14">
        <f t="shared" si="35"/>
        <v>32.890447642602773</v>
      </c>
      <c r="AL30" s="22">
        <f t="shared" si="4"/>
        <v>275.38322031086642</v>
      </c>
      <c r="AM30" s="62">
        <f t="shared" si="5"/>
        <v>540.28432988871089</v>
      </c>
      <c r="AN30" s="62">
        <f ca="1">AVERAGE(OFFSET($AM$3,0,0,'Données projet'!$E$10+1,1))-AVERAGE(OFFSET($H$3,0,0,'Données projet'!$E$10+1,1))</f>
        <v>251.79502399207217</v>
      </c>
      <c r="AO30" s="62">
        <f t="shared" si="36"/>
        <v>353.30085932455904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1.2146484951303296</v>
      </c>
      <c r="AV30" s="23">
        <f>EXP(-LN(2)/25)*AV29+(1-EXP(-LN(2)/25))/(LN(2)/25)*Calculateur!AQ30*Calculateur!AS30*VLOOKUP('Données projet'!$B$10,Paramètres!$A$1:$I$89,3,0)*0.475*44/12</f>
        <v>1.1909064472011914</v>
      </c>
      <c r="AW30" s="23">
        <f>EXP(-LN(2)/2)*AW29+(1-EXP(-LN(2)/2))/(LN(2)/2)*AQ30*AT30*VLOOKUP('Données projet'!$B$10,Paramètres!$A$1:$I$89,3,0)*0.475*44/12</f>
        <v>2.2943061684721289</v>
      </c>
      <c r="AX30" s="23">
        <f t="shared" si="6"/>
        <v>4.6998611108036492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63.24575715759395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1.4255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5.2268333333333334</v>
      </c>
      <c r="H31" s="70">
        <f t="shared" si="1"/>
        <v>222.1695666666667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106.79999999999998</v>
      </c>
      <c r="O31" s="14">
        <f>N31*VLOOKUP('Données projet'!$B$9,Paramètres!$A$1:$I$89,3,0)*VLOOKUP('Données projet'!$B$9,Paramètres!$A$1:$I$89,5,0)</f>
        <v>111.62736</v>
      </c>
      <c r="P31" s="14">
        <f t="shared" si="33"/>
        <v>29.714074953204591</v>
      </c>
      <c r="Q31" s="22">
        <f t="shared" si="2"/>
        <v>246.16966587683132</v>
      </c>
      <c r="R31" s="62">
        <f t="shared" si="0"/>
        <v>512.72262472489808</v>
      </c>
      <c r="S31" s="62">
        <f ca="1">AVERAGE(OFFSET($R$3,0,0,'Données projet'!$E$9+1,1))-AVERAGE(OFFSET($H$3,0,0,'Données projet'!$E$9+1,1))</f>
        <v>326.68822125342342</v>
      </c>
      <c r="T31" s="62">
        <f t="shared" si="34"/>
        <v>332.44447101343894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5.2</v>
      </c>
      <c r="AI31" s="14">
        <f>IF('Données projet'!$A$62&gt;35,AI30+AH31-AQ30,IF(A31&lt;'Données projet'!$A$62,$AF$205^A31,IF(A31='Données projet'!$A$62,'Données projet'!$B$62,AI30+AH31-AQ30)))</f>
        <v>143.59999999999997</v>
      </c>
      <c r="AJ31" s="14">
        <f>AI31*VLOOKUP('Données projet'!$B$10,Paramètres!$A$1:$I$89,3,0)*VLOOKUP('Données projet'!$B$10,Paramètres!$A$1:$I$89,5,0)</f>
        <v>129.92927999999995</v>
      </c>
      <c r="AK31" s="14">
        <f t="shared" si="35"/>
        <v>33.980017499256149</v>
      </c>
      <c r="AL31" s="22">
        <f t="shared" si="4"/>
        <v>285.47535981120433</v>
      </c>
      <c r="AM31" s="62">
        <f t="shared" si="5"/>
        <v>552.02831865927112</v>
      </c>
      <c r="AN31" s="62">
        <f ca="1">AVERAGE(OFFSET($AM$3,0,0,'Données projet'!$E$10+1,1))-AVERAGE(OFFSET($H$3,0,0,'Données projet'!$E$10+1,1))</f>
        <v>251.79502399207217</v>
      </c>
      <c r="AO31" s="62">
        <f t="shared" si="36"/>
        <v>353.30085932455904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1.1908299790032517</v>
      </c>
      <c r="AV31" s="23">
        <f>EXP(-LN(2)/25)*AV30+(1-EXP(-LN(2)/25))/(LN(2)/25)*Calculateur!AQ31*Calculateur!AS31*VLOOKUP('Données projet'!$B$10,Paramètres!$A$1:$I$89,3,0)*0.475*44/12</f>
        <v>1.1583410477754266</v>
      </c>
      <c r="AW31" s="23">
        <f>EXP(-LN(2)/2)*AW30+(1-EXP(-LN(2)/2))/(LN(2)/2)*AQ31*AT31*VLOOKUP('Données projet'!$B$10,Paramètres!$A$1:$I$89,3,0)*0.475*44/12</f>
        <v>1.6223194498447679</v>
      </c>
      <c r="AX31" s="23">
        <f t="shared" si="6"/>
        <v>3.9714904766234458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63.362928170684874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1.4255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5.2268333333333334</v>
      </c>
      <c r="H32" s="70">
        <f t="shared" si="1"/>
        <v>222.1695666666667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115.39999999999998</v>
      </c>
      <c r="O32" s="14">
        <f>N32*VLOOKUP('Données projet'!$B$9,Paramètres!$A$1:$I$89,3,0)*VLOOKUP('Données projet'!$B$9,Paramètres!$A$1:$I$89,5,0)</f>
        <v>120.61607999999998</v>
      </c>
      <c r="P32" s="14">
        <f t="shared" si="33"/>
        <v>31.818646984184912</v>
      </c>
      <c r="Q32" s="22">
        <f t="shared" si="2"/>
        <v>265.49048283078872</v>
      </c>
      <c r="R32" s="62">
        <f t="shared" si="0"/>
        <v>533.68783788029714</v>
      </c>
      <c r="S32" s="62">
        <f ca="1">AVERAGE(OFFSET($R$3,0,0,'Données projet'!$E$9+1,1))-AVERAGE(OFFSET($H$3,0,0,'Données projet'!$E$9+1,1))</f>
        <v>326.68822125342342</v>
      </c>
      <c r="T32" s="62">
        <f t="shared" si="34"/>
        <v>332.44447101343894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5.2</v>
      </c>
      <c r="AI32" s="14">
        <f>IF('Données projet'!$A$62&gt;35,AI31+AH32-AQ31,IF(A32&lt;'Données projet'!$A$62,$AF$205^A32,IF(A32='Données projet'!$A$62,'Données projet'!$B$62,AI31+AH32-AQ31)))</f>
        <v>148.79999999999995</v>
      </c>
      <c r="AJ32" s="14">
        <f>AI32*VLOOKUP('Données projet'!$B$10,Paramètres!$A$1:$I$89,3,0)*VLOOKUP('Données projet'!$B$10,Paramètres!$A$1:$I$89,5,0)</f>
        <v>134.63423999999998</v>
      </c>
      <c r="AK32" s="14">
        <f t="shared" si="35"/>
        <v>35.065003380589694</v>
      </c>
      <c r="AL32" s="22">
        <f t="shared" si="4"/>
        <v>295.55951555452697</v>
      </c>
      <c r="AM32" s="62">
        <f t="shared" si="5"/>
        <v>563.75687060403538</v>
      </c>
      <c r="AN32" s="62">
        <f ca="1">AVERAGE(OFFSET($AM$3,0,0,'Données projet'!$E$10+1,1))-AVERAGE(OFFSET($H$3,0,0,'Données projet'!$E$10+1,1))</f>
        <v>251.79502399207217</v>
      </c>
      <c r="AO32" s="62">
        <f t="shared" si="36"/>
        <v>353.30085932455904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1.1674785294495655</v>
      </c>
      <c r="AV32" s="23">
        <f>EXP(-LN(2)/25)*AV31+(1-EXP(-LN(2)/25))/(LN(2)/25)*Calculateur!AQ32*Calculateur!AS32*VLOOKUP('Données projet'!$B$10,Paramètres!$A$1:$I$89,3,0)*0.475*44/12</f>
        <v>1.1266661509094993</v>
      </c>
      <c r="AW32" s="23">
        <f>EXP(-LN(2)/2)*AW31+(1-EXP(-LN(2)/2))/(LN(2)/2)*AQ32*AT32*VLOOKUP('Données projet'!$B$10,Paramètres!$A$1:$I$89,3,0)*0.475*44/12</f>
        <v>1.1471530842360647</v>
      </c>
      <c r="AX32" s="23">
        <f t="shared" si="6"/>
        <v>3.4412977645951295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63.478066528653812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1.4255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5.2268333333333334</v>
      </c>
      <c r="H33" s="70">
        <f t="shared" si="1"/>
        <v>222.1695666666667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124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123.99999999999997</v>
      </c>
      <c r="O33" s="14">
        <f>N33*VLOOKUP('Données projet'!$B$9,Paramètres!$A$1:$I$89,3,0)*VLOOKUP('Données projet'!$B$9,Paramètres!$A$1:$I$89,5,0)</f>
        <v>129.60479999999998</v>
      </c>
      <c r="P33" s="14">
        <f t="shared" si="33"/>
        <v>33.905024040491121</v>
      </c>
      <c r="Q33" s="22">
        <f t="shared" si="2"/>
        <v>284.77961020385533</v>
      </c>
      <c r="R33" s="62">
        <f t="shared" si="0"/>
        <v>554.61403768010564</v>
      </c>
      <c r="S33" s="62">
        <f ca="1">AVERAGE(OFFSET($R$3,0,0,'Données projet'!$E$9+1,1))-AVERAGE(OFFSET($H$3,0,0,'Données projet'!$E$9+1,1))</f>
        <v>326.68822125342342</v>
      </c>
      <c r="T33" s="62">
        <f t="shared" si="34"/>
        <v>332.44447101343894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154</v>
      </c>
      <c r="AG33" s="13">
        <f>VLOOKUP(A33,'Données projet'!$A$61:$I$81,9,0)</f>
        <v>5.2</v>
      </c>
      <c r="AH33" s="13">
        <f t="array" ref="AH33">INDEX(AG:AG,MIN(IF(ISNUMBER(AG33:AG229),ROW(AG33:AG229),"")))</f>
        <v>5.2</v>
      </c>
      <c r="AI33" s="14">
        <f>IF('Données projet'!$A$62&gt;35,AI32+AH33-AQ32,IF(A33&lt;'Données projet'!$A$62,$AF$205^A33,IF(A33='Données projet'!$A$62,'Données projet'!$B$62,AI32+AH33-AQ32)))</f>
        <v>153.99999999999994</v>
      </c>
      <c r="AJ33" s="14">
        <f>AI33*VLOOKUP('Données projet'!$B$10,Paramètres!$A$1:$I$89,3,0)*VLOOKUP('Données projet'!$B$10,Paramètres!$A$1:$I$89,5,0)</f>
        <v>139.33919999999995</v>
      </c>
      <c r="AK33" s="14">
        <f t="shared" si="35"/>
        <v>36.145583836349623</v>
      </c>
      <c r="AL33" s="22">
        <f t="shared" si="4"/>
        <v>305.63599851497548</v>
      </c>
      <c r="AM33" s="62">
        <f t="shared" si="5"/>
        <v>575.47042599122574</v>
      </c>
      <c r="AN33" s="62">
        <f ca="1">AVERAGE(OFFSET($AM$3,0,0,'Données projet'!$E$10+1,1))-AVERAGE(OFFSET($H$3,0,0,'Données projet'!$E$10+1,1))</f>
        <v>251.79502399207217</v>
      </c>
      <c r="AO33" s="62">
        <f t="shared" si="36"/>
        <v>353.30085932455904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6</v>
      </c>
      <c r="AR33" s="17">
        <f>IF(ISNA(VLOOKUP(A33,'Données projet'!$A$61:$I$81,5,0)),0%,VLOOKUP(A33,'Données projet'!$A$61:$I$81,5,0)*VLOOKUP('Données projet'!$B$10,Paramètres!$A$1:$I$89,7,0))</f>
        <v>0.12</v>
      </c>
      <c r="AS33" s="17">
        <f>IF(ISNA(VLOOKUP(A33,'Données projet'!$A$61:$I$81,6,0)),0%,VLOOKUP(A33,'Données projet'!$A$61:$I$81,6,0)*VLOOKUP('Données projet'!$B$10,Paramètres!$A$1:$I$89,7,0))</f>
        <v>0.06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1.864750299147667</v>
      </c>
      <c r="AV33" s="23">
        <f>EXP(-LN(2)/25)*AV32+(1-EXP(-LN(2)/25))/(LN(2)/25)*Calculateur!AQ33*Calculateur!AS33*VLOOKUP('Données projet'!$B$10,Paramètres!$A$1:$I$89,3,0)*0.475*44/12</f>
        <v>1.4545222789305179</v>
      </c>
      <c r="AW33" s="23">
        <f>EXP(-LN(2)/2)*AW32+(1-EXP(-LN(2)/2))/(LN(2)/2)*AQ33*AT33*VLOOKUP('Données projet'!$B$10,Paramètres!$A$1:$I$89,3,0)*0.475*44/12</f>
        <v>2.860047290526277</v>
      </c>
      <c r="AX33" s="23">
        <f t="shared" si="6"/>
        <v>6.1793198686044626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63.591207493522802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1.4255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5.2268333333333334</v>
      </c>
      <c r="H34" s="70">
        <f t="shared" si="1"/>
        <v>222.1695666666667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105.79999999999998</v>
      </c>
      <c r="O34" s="14">
        <f>N34*VLOOKUP('Données projet'!$B$9,Paramètres!$A$1:$I$89,3,0)*VLOOKUP('Données projet'!$B$9,Paramètres!$A$1:$I$89,5,0)</f>
        <v>110.58216</v>
      </c>
      <c r="P34" s="14">
        <f t="shared" si="33"/>
        <v>29.468103844355575</v>
      </c>
      <c r="Q34" s="22">
        <f t="shared" si="2"/>
        <v>243.92087619558598</v>
      </c>
      <c r="R34" s="62">
        <f t="shared" si="0"/>
        <v>514.16295715277363</v>
      </c>
      <c r="S34" s="62">
        <f ca="1">AVERAGE(OFFSET($R$3,0,0,'Données projet'!$E$9+1,1))-AVERAGE(OFFSET($H$3,0,0,'Données projet'!$E$9+1,1))</f>
        <v>326.68822125342342</v>
      </c>
      <c r="T34" s="62">
        <f t="shared" si="34"/>
        <v>332.44447101343894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4.2</v>
      </c>
      <c r="AI34" s="14">
        <f>IF('Données projet'!$A$62&gt;35,AI33+AH34-AQ33,IF(A34&lt;'Données projet'!$A$62,$AF$205^A34,IF(A34='Données projet'!$A$62,'Données projet'!$B$62,AI33+AH34-AQ33)))</f>
        <v>152.19999999999993</v>
      </c>
      <c r="AJ34" s="14">
        <f>AI34*VLOOKUP('Données projet'!$B$10,Paramètres!$A$1:$I$89,3,0)*VLOOKUP('Données projet'!$B$10,Paramètres!$A$1:$I$89,5,0)</f>
        <v>137.71055999999993</v>
      </c>
      <c r="AK34" s="14">
        <f t="shared" si="35"/>
        <v>35.772024702085233</v>
      </c>
      <c r="AL34" s="22">
        <f t="shared" si="4"/>
        <v>302.14883502279832</v>
      </c>
      <c r="AM34" s="62">
        <f t="shared" si="5"/>
        <v>572.39091597998595</v>
      </c>
      <c r="AN34" s="62">
        <f ca="1">AVERAGE(OFFSET($AM$3,0,0,'Données projet'!$E$10+1,1))-AVERAGE(OFFSET($H$3,0,0,'Données projet'!$E$10+1,1))</f>
        <v>251.79502399207217</v>
      </c>
      <c r="AO34" s="62">
        <f t="shared" si="36"/>
        <v>353.30085932455904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1.8281836831667562</v>
      </c>
      <c r="AV34" s="23">
        <f>EXP(-LN(2)/25)*AV33+(1-EXP(-LN(2)/25))/(LN(2)/25)*Calculateur!AQ34*Calculateur!AS34*VLOOKUP('Données projet'!$B$10,Paramètres!$A$1:$I$89,3,0)*0.475*44/12</f>
        <v>1.4147482907231606</v>
      </c>
      <c r="AW34" s="23">
        <f>EXP(-LN(2)/2)*AW33+(1-EXP(-LN(2)/2))/(LN(2)/2)*AQ34*AT34*VLOOKUP('Données projet'!$B$10,Paramètres!$A$1:$I$89,3,0)*0.475*44/12</f>
        <v>2.0223588336453426</v>
      </c>
      <c r="AX34" s="23">
        <f t="shared" si="6"/>
        <v>5.2652908075352594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63.702385715596613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1.4255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5.2268333333333334</v>
      </c>
      <c r="H35" s="70">
        <f t="shared" si="1"/>
        <v>222.1695666666667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113.59999999999998</v>
      </c>
      <c r="O35" s="14">
        <f>N35*VLOOKUP('Données projet'!$B$9,Paramètres!$A$1:$I$89,3,0)*VLOOKUP('Données projet'!$B$9,Paramètres!$A$1:$I$89,5,0)</f>
        <v>118.73472</v>
      </c>
      <c r="P35" s="14">
        <f t="shared" si="33"/>
        <v>31.379711702963693</v>
      </c>
      <c r="Q35" s="22">
        <f t="shared" ref="Q35:Q66" si="53">(O35+P35)*0.475*44/12</f>
        <v>261.4493018826617</v>
      </c>
      <c r="R35" s="62">
        <f t="shared" si="0"/>
        <v>532.09196444426902</v>
      </c>
      <c r="S35" s="62">
        <f ca="1">AVERAGE(OFFSET($R$3,0,0,'Données projet'!$E$9+1,1))-AVERAGE(OFFSET($H$3,0,0,'Données projet'!$E$9+1,1))</f>
        <v>326.68822125342342</v>
      </c>
      <c r="T35" s="62">
        <f t="shared" si="34"/>
        <v>332.44447101343894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4.2</v>
      </c>
      <c r="AI35" s="14">
        <f>IF('Données projet'!$A$62&gt;35,AI34+AH35-AQ34,IF(A35&lt;'Données projet'!$A$62,$AF$205^A35,IF(A35='Données projet'!$A$62,'Données projet'!$B$62,AI34+AH35-AQ34)))</f>
        <v>156.39999999999992</v>
      </c>
      <c r="AJ35" s="14">
        <f>AI35*VLOOKUP('Données projet'!$B$10,Paramètres!$A$1:$I$89,3,0)*VLOOKUP('Données projet'!$B$10,Paramètres!$A$1:$I$89,5,0)</f>
        <v>141.51071999999994</v>
      </c>
      <c r="AK35" s="14">
        <f t="shared" si="35"/>
        <v>36.642873749766764</v>
      </c>
      <c r="AL35" s="22">
        <f t="shared" si="4"/>
        <v>310.28417578084361</v>
      </c>
      <c r="AM35" s="62">
        <f t="shared" si="5"/>
        <v>580.92683834245088</v>
      </c>
      <c r="AN35" s="62">
        <f ca="1">AVERAGE(OFFSET($AM$3,0,0,'Données projet'!$E$10+1,1))-AVERAGE(OFFSET($H$3,0,0,'Données projet'!$E$10+1,1))</f>
        <v>251.79502399207217</v>
      </c>
      <c r="AO35" s="62">
        <f t="shared" si="36"/>
        <v>353.30085932455904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1.7923341162217976</v>
      </c>
      <c r="AV35" s="23">
        <f>EXP(-LN(2)/25)*AV34+(1-EXP(-LN(2)/25))/(LN(2)/25)*Calculateur!AQ35*Calculateur!AS35*VLOOKUP('Données projet'!$B$10,Paramètres!$A$1:$I$89,3,0)*0.475*44/12</f>
        <v>1.3760619243149566</v>
      </c>
      <c r="AW35" s="23">
        <f>EXP(-LN(2)/2)*AW34+(1-EXP(-LN(2)/2))/(LN(2)/2)*AQ35*AT35*VLOOKUP('Données projet'!$B$10,Paramètres!$A$1:$I$89,3,0)*0.475*44/12</f>
        <v>1.430023645263139</v>
      </c>
      <c r="AX35" s="23">
        <f t="shared" si="6"/>
        <v>4.5984196857998931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63.811635244074708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1.4255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5.2268333333333334</v>
      </c>
      <c r="H36" s="70">
        <f t="shared" si="1"/>
        <v>222.1695666666667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121.39999999999998</v>
      </c>
      <c r="O36" s="14">
        <f>N36*VLOOKUP('Données projet'!$B$9,Paramètres!$A$1:$I$89,3,0)*VLOOKUP('Données projet'!$B$9,Paramètres!$A$1:$I$89,5,0)</f>
        <v>126.88727999999999</v>
      </c>
      <c r="P36" s="14">
        <f t="shared" si="33"/>
        <v>33.276089770555018</v>
      </c>
      <c r="Q36" s="22">
        <f t="shared" si="53"/>
        <v>278.95120235038326</v>
      </c>
      <c r="R36" s="62">
        <f t="shared" si="0"/>
        <v>549.98749732113981</v>
      </c>
      <c r="S36" s="62">
        <f ca="1">AVERAGE(OFFSET($R$3,0,0,'Données projet'!$E$9+1,1))-AVERAGE(OFFSET($H$3,0,0,'Données projet'!$E$9+1,1))</f>
        <v>326.68822125342342</v>
      </c>
      <c r="T36" s="62">
        <f t="shared" si="34"/>
        <v>332.44447101343894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4.2</v>
      </c>
      <c r="AI36" s="14">
        <f>IF('Données projet'!$A$62&gt;35,AI35+AH36-AQ35,IF(A36&lt;'Données projet'!$A$62,$AF$205^A36,IF(A36='Données projet'!$A$62,'Données projet'!$B$62,AI35+AH36-AQ35)))</f>
        <v>160.59999999999991</v>
      </c>
      <c r="AJ36" s="14">
        <f>AI36*VLOOKUP('Données projet'!$B$10,Paramètres!$A$1:$I$89,3,0)*VLOOKUP('Données projet'!$B$10,Paramètres!$A$1:$I$89,5,0)</f>
        <v>145.31087999999991</v>
      </c>
      <c r="AK36" s="14">
        <f t="shared" si="35"/>
        <v>37.511004575106362</v>
      </c>
      <c r="AL36" s="22">
        <f t="shared" si="4"/>
        <v>318.41478230164341</v>
      </c>
      <c r="AM36" s="62">
        <f t="shared" si="5"/>
        <v>589.45107727239997</v>
      </c>
      <c r="AN36" s="62">
        <f ca="1">AVERAGE(OFFSET($AM$3,0,0,'Données projet'!$E$10+1,1))-AVERAGE(OFFSET($H$3,0,0,'Données projet'!$E$10+1,1))</f>
        <v>251.79502399207217</v>
      </c>
      <c r="AO36" s="62">
        <f t="shared" si="36"/>
        <v>353.30085932455904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1.757187537418553</v>
      </c>
      <c r="AV36" s="23">
        <f>EXP(-LN(2)/25)*AV35+(1-EXP(-LN(2)/25))/(LN(2)/25)*Calculateur!AQ36*Calculateur!AS36*VLOOKUP('Données projet'!$B$10,Paramètres!$A$1:$I$89,3,0)*0.475*44/12</f>
        <v>1.3384334386306125</v>
      </c>
      <c r="AW36" s="23">
        <f>EXP(-LN(2)/2)*AW35+(1-EXP(-LN(2)/2))/(LN(2)/2)*AQ36*AT36*VLOOKUP('Données projet'!$B$10,Paramètres!$A$1:$I$89,3,0)*0.475*44/12</f>
        <v>1.0111794168226715</v>
      </c>
      <c r="AX36" s="23">
        <f t="shared" si="6"/>
        <v>4.1068003928718371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63.918989537479071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1.4255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5.2268333333333334</v>
      </c>
      <c r="H37" s="70">
        <f t="shared" si="1"/>
        <v>222.1695666666667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129.19999999999999</v>
      </c>
      <c r="O37" s="14">
        <f>N37*VLOOKUP('Données projet'!$B$9,Paramètres!$A$1:$I$89,3,0)*VLOOKUP('Données projet'!$B$9,Paramètres!$A$1:$I$89,5,0)</f>
        <v>135.03984</v>
      </c>
      <c r="P37" s="14">
        <f t="shared" si="33"/>
        <v>35.158327939856846</v>
      </c>
      <c r="Q37" s="22">
        <f t="shared" si="53"/>
        <v>296.428475828584</v>
      </c>
      <c r="R37" s="62">
        <f t="shared" si="0"/>
        <v>567.85157456622142</v>
      </c>
      <c r="S37" s="62">
        <f ca="1">AVERAGE(OFFSET($R$3,0,0,'Données projet'!$E$9+1,1))-AVERAGE(OFFSET($H$3,0,0,'Données projet'!$E$9+1,1))</f>
        <v>326.68822125342342</v>
      </c>
      <c r="T37" s="62">
        <f t="shared" si="34"/>
        <v>332.44447101343894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4.2</v>
      </c>
      <c r="AI37" s="14">
        <f>IF('Données projet'!$A$62&gt;35,AI36+AH37-AQ36,IF(A37&lt;'Données projet'!$A$62,$AF$205^A37,IF(A37='Données projet'!$A$62,'Données projet'!$B$62,AI36+AH37-AQ36)))</f>
        <v>164.7999999999999</v>
      </c>
      <c r="AJ37" s="14">
        <f>AI37*VLOOKUP('Données projet'!$B$10,Paramètres!$A$1:$I$89,3,0)*VLOOKUP('Données projet'!$B$10,Paramètres!$A$1:$I$89,5,0)</f>
        <v>149.11103999999989</v>
      </c>
      <c r="AK37" s="14">
        <f t="shared" si="35"/>
        <v>38.376496436982357</v>
      </c>
      <c r="AL37" s="22">
        <f t="shared" si="4"/>
        <v>326.54079262774405</v>
      </c>
      <c r="AM37" s="62">
        <f t="shared" si="5"/>
        <v>597.96389136538141</v>
      </c>
      <c r="AN37" s="62">
        <f ca="1">AVERAGE(OFFSET($AM$3,0,0,'Données projet'!$E$10+1,1))-AVERAGE(OFFSET($H$3,0,0,'Données projet'!$E$10+1,1))</f>
        <v>251.79502399207217</v>
      </c>
      <c r="AO37" s="62">
        <f t="shared" si="36"/>
        <v>353.30085932455904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1.7227301615883437</v>
      </c>
      <c r="AV37" s="23">
        <f>EXP(-LN(2)/25)*AV36+(1-EXP(-LN(2)/25))/(LN(2)/25)*Calculateur!AQ37*Calculateur!AS37*VLOOKUP('Données projet'!$B$10,Paramètres!$A$1:$I$89,3,0)*0.475*44/12</f>
        <v>1.3018339058661028</v>
      </c>
      <c r="AW37" s="23">
        <f>EXP(-LN(2)/2)*AW36+(1-EXP(-LN(2)/2))/(LN(2)/2)*AQ37*AT37*VLOOKUP('Données projet'!$B$10,Paramètres!$A$1:$I$89,3,0)*0.475*44/12</f>
        <v>0.71501182263156959</v>
      </c>
      <c r="AX37" s="23">
        <f t="shared" si="6"/>
        <v>3.7395758900860159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64.024481473901105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1.4255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5.2268333333333334</v>
      </c>
      <c r="H38" s="70">
        <f t="shared" si="1"/>
        <v>222.1695666666667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143.19240000000002</v>
      </c>
      <c r="P38" s="14">
        <f t="shared" si="33"/>
        <v>37.027377071278792</v>
      </c>
      <c r="Q38" s="22">
        <f t="shared" si="53"/>
        <v>313.88277839914394</v>
      </c>
      <c r="R38" s="62">
        <f t="shared" si="0"/>
        <v>585.68597072307034</v>
      </c>
      <c r="S38" s="62">
        <f ca="1">AVERAGE(OFFSET($R$3,0,0,'Données projet'!$E$9+1,1))-AVERAGE(OFFSET($H$3,0,0,'Données projet'!$E$9+1,1))</f>
        <v>326.68822125342342</v>
      </c>
      <c r="T38" s="62">
        <f t="shared" si="34"/>
        <v>332.44447101343894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169</v>
      </c>
      <c r="AG38" s="13">
        <f>VLOOKUP(A38,'Données projet'!$A$61:$I$81,9,0)</f>
        <v>4.2</v>
      </c>
      <c r="AH38" s="13">
        <f t="array" ref="AH38">INDEX(AG:AG,MIN(IF(ISNUMBER(AG38:AG234),ROW(AG38:AG234),"")))</f>
        <v>4.2</v>
      </c>
      <c r="AI38" s="14">
        <f>IF('Données projet'!$A$62&gt;35,AI37+AH38-AQ37,IF(A38&lt;'Données projet'!$A$62,$AF$205^A38,IF(A38='Données projet'!$A$62,'Données projet'!$B$62,AI37+AH38-AQ37)))</f>
        <v>168.99999999999989</v>
      </c>
      <c r="AJ38" s="14">
        <f>AI38*VLOOKUP('Données projet'!$B$10,Paramètres!$A$1:$I$89,3,0)*VLOOKUP('Données projet'!$B$10,Paramètres!$A$1:$I$89,5,0)</f>
        <v>152.91119999999989</v>
      </c>
      <c r="AK38" s="14">
        <f t="shared" si="35"/>
        <v>39.239424324197508</v>
      </c>
      <c r="AL38" s="22">
        <f t="shared" si="4"/>
        <v>334.66233736464375</v>
      </c>
      <c r="AM38" s="62">
        <f t="shared" si="5"/>
        <v>606.4655296885702</v>
      </c>
      <c r="AN38" s="62">
        <f ca="1">AVERAGE(OFFSET($AM$3,0,0,'Données projet'!$E$10+1,1))-AVERAGE(OFFSET($H$3,0,0,'Données projet'!$E$10+1,1))</f>
        <v>251.79502399207217</v>
      </c>
      <c r="AO38" s="62">
        <f t="shared" si="36"/>
        <v>353.30085932455904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1.6889484738812408</v>
      </c>
      <c r="AV38" s="23">
        <f>EXP(-LN(2)/25)*AV37+(1-EXP(-LN(2)/25))/(LN(2)/25)*Calculateur!AQ38*Calculateur!AS38*VLOOKUP('Données projet'!$B$10,Paramètres!$A$1:$I$89,3,0)*0.475*44/12</f>
        <v>1.2662351892497246</v>
      </c>
      <c r="AW38" s="23">
        <f>EXP(-LN(2)/2)*AW37+(1-EXP(-LN(2)/2))/(LN(2)/2)*AQ38*AT38*VLOOKUP('Données projet'!$B$10,Paramètres!$A$1:$I$89,3,0)*0.475*44/12</f>
        <v>0.50558970841133588</v>
      </c>
      <c r="AX38" s="23">
        <f t="shared" si="6"/>
        <v>3.460773371542301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64.128143361070855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1.4255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5.2268333333333334</v>
      </c>
      <c r="H39" s="70">
        <f t="shared" si="1"/>
        <v>222.1695666666667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7.2</v>
      </c>
      <c r="N39" s="14">
        <f>IF('Données projet'!$A$36&gt;35,N38+M39-V38,IF(A39&lt;'Données projet'!$A$36,$K$205^A39,IF(A39='Données projet'!$A$36,'Données projet'!$B$36,N38+M39-V38)))</f>
        <v>119.19999999999999</v>
      </c>
      <c r="O39" s="14">
        <f>N39*VLOOKUP('Données projet'!$B$9,Paramètres!$A$1:$I$89,3,0)*VLOOKUP('Données projet'!$B$9,Paramètres!$A$1:$I$89,5,0)</f>
        <v>124.58783999999999</v>
      </c>
      <c r="P39" s="14">
        <f t="shared" si="33"/>
        <v>32.742689893696436</v>
      </c>
      <c r="Q39" s="22">
        <f t="shared" si="53"/>
        <v>274.01733956485458</v>
      </c>
      <c r="R39" s="62">
        <f t="shared" si="0"/>
        <v>546.19403170111002</v>
      </c>
      <c r="S39" s="62">
        <f ca="1">AVERAGE(OFFSET($R$3,0,0,'Données projet'!$E$9+1,1))-AVERAGE(OFFSET($H$3,0,0,'Données projet'!$E$9+1,1))</f>
        <v>326.68822125342342</v>
      </c>
      <c r="T39" s="62">
        <f t="shared" si="34"/>
        <v>332.44447101343894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3.8</v>
      </c>
      <c r="AI39" s="14">
        <f>IF('Données projet'!$A$62&gt;35,AI38+AH39-AQ38,IF(A39&lt;'Données projet'!$A$62,$AF$205^A39,IF(A39='Données projet'!$A$62,'Données projet'!$B$62,AI38+AH39-AQ38)))</f>
        <v>167.7999999999999</v>
      </c>
      <c r="AJ39" s="14">
        <f>AI39*VLOOKUP('Données projet'!$B$10,Paramètres!$A$1:$I$89,3,0)*VLOOKUP('Données projet'!$B$10,Paramètres!$A$1:$I$89,5,0)</f>
        <v>151.8254399999999</v>
      </c>
      <c r="AK39" s="14">
        <f t="shared" si="35"/>
        <v>38.993130915848106</v>
      </c>
      <c r="AL39" s="22">
        <f t="shared" si="4"/>
        <v>332.34234434510194</v>
      </c>
      <c r="AM39" s="62">
        <f t="shared" si="5"/>
        <v>604.51903648135738</v>
      </c>
      <c r="AN39" s="62">
        <f ca="1">AVERAGE(OFFSET($AM$3,0,0,'Données projet'!$E$10+1,1))-AVERAGE(OFFSET($H$3,0,0,'Données projet'!$E$10+1,1))</f>
        <v>251.79502399207217</v>
      </c>
      <c r="AO39" s="62">
        <f t="shared" si="36"/>
        <v>353.30085932455904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1.6558292244652792</v>
      </c>
      <c r="AV39" s="23">
        <f>EXP(-LN(2)/25)*AV38+(1-EXP(-LN(2)/25))/(LN(2)/25)*Calculateur!AQ39*Calculateur!AS39*VLOOKUP('Données projet'!$B$10,Paramètres!$A$1:$I$89,3,0)*0.475*44/12</f>
        <v>1.2316099214112763</v>
      </c>
      <c r="AW39" s="23">
        <f>EXP(-LN(2)/2)*AW38+(1-EXP(-LN(2)/2))/(LN(2)/2)*AQ39*AT39*VLOOKUP('Données projet'!$B$10,Paramètres!$A$1:$I$89,3,0)*0.475*44/12</f>
        <v>0.35750591131578485</v>
      </c>
      <c r="AX39" s="23">
        <f t="shared" si="6"/>
        <v>3.2449450571923406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64.230006946251478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1.4255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5.2268333333333334</v>
      </c>
      <c r="H40" s="70">
        <f t="shared" si="1"/>
        <v>222.1695666666667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7.2</v>
      </c>
      <c r="N40" s="14">
        <f>IF('Données projet'!$A$36&gt;35,N39+M40-V39,IF(A40&lt;'Données projet'!$A$36,$K$205^A40,IF(A40='Données projet'!$A$36,'Données projet'!$B$36,N39+M40-V39)))</f>
        <v>126.39999999999999</v>
      </c>
      <c r="O40" s="14">
        <f>N40*VLOOKUP('Données projet'!$B$9,Paramètres!$A$1:$I$89,3,0)*VLOOKUP('Données projet'!$B$9,Paramètres!$A$1:$I$89,5,0)</f>
        <v>132.11328</v>
      </c>
      <c r="P40" s="14">
        <f t="shared" si="33"/>
        <v>34.48421706763893</v>
      </c>
      <c r="Q40" s="22">
        <f t="shared" si="53"/>
        <v>290.1573073928044</v>
      </c>
      <c r="R40" s="62">
        <f t="shared" si="0"/>
        <v>562.7010199546653</v>
      </c>
      <c r="S40" s="62">
        <f ca="1">AVERAGE(OFFSET($R$3,0,0,'Données projet'!$E$9+1,1))-AVERAGE(OFFSET($H$3,0,0,'Données projet'!$E$9+1,1))</f>
        <v>326.68822125342342</v>
      </c>
      <c r="T40" s="62">
        <f t="shared" si="34"/>
        <v>332.44447101343894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3.8</v>
      </c>
      <c r="AI40" s="14">
        <f>IF('Données projet'!$A$62&gt;35,AI39+AH40-AQ39,IF(A40&lt;'Données projet'!$A$62,$AF$205^A40,IF(A40='Données projet'!$A$62,'Données projet'!$B$62,AI39+AH40-AQ39)))</f>
        <v>171.59999999999991</v>
      </c>
      <c r="AJ40" s="14">
        <f>AI40*VLOOKUP('Données projet'!$B$10,Paramètres!$A$1:$I$89,3,0)*VLOOKUP('Données projet'!$B$10,Paramètres!$A$1:$I$89,5,0)</f>
        <v>155.26367999999991</v>
      </c>
      <c r="AK40" s="14">
        <f t="shared" si="35"/>
        <v>39.77236412265178</v>
      </c>
      <c r="AL40" s="22">
        <f t="shared" si="4"/>
        <v>339.68777684695164</v>
      </c>
      <c r="AM40" s="62">
        <f t="shared" si="5"/>
        <v>612.23148940881265</v>
      </c>
      <c r="AN40" s="62">
        <f ca="1">AVERAGE(OFFSET($AM$3,0,0,'Données projet'!$E$10+1,1))-AVERAGE(OFFSET($H$3,0,0,'Données projet'!$E$10+1,1))</f>
        <v>251.79502399207217</v>
      </c>
      <c r="AO40" s="62">
        <f t="shared" si="36"/>
        <v>353.30085932455904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1.6233594233296171</v>
      </c>
      <c r="AV40" s="23">
        <f>EXP(-LN(2)/25)*AV39+(1-EXP(-LN(2)/25))/(LN(2)/25)*Calculateur!AQ40*Calculateur!AS40*VLOOKUP('Données projet'!$B$10,Paramètres!$A$1:$I$89,3,0)*0.475*44/12</f>
        <v>1.1979314833427341</v>
      </c>
      <c r="AW40" s="23">
        <f>EXP(-LN(2)/2)*AW39+(1-EXP(-LN(2)/2))/(LN(2)/2)*AQ40*AT40*VLOOKUP('Données projet'!$B$10,Paramètres!$A$1:$I$89,3,0)*0.475*44/12</f>
        <v>0.25279485420566794</v>
      </c>
      <c r="AX40" s="23">
        <f t="shared" si="6"/>
        <v>3.0740857608780194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64.330103425962079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1.4255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5.2268333333333334</v>
      </c>
      <c r="H41" s="70">
        <f t="shared" si="1"/>
        <v>222.1695666666667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7.2</v>
      </c>
      <c r="N41" s="14">
        <f>IF('Données projet'!$A$36&gt;35,N40+M41-V40,IF(A41&lt;'Données projet'!$A$36,$K$205^A41,IF(A41='Données projet'!$A$36,'Données projet'!$B$36,N40+M41-V40)))</f>
        <v>133.6</v>
      </c>
      <c r="O41" s="14">
        <f>N41*VLOOKUP('Données projet'!$B$9,Paramètres!$A$1:$I$89,3,0)*VLOOKUP('Données projet'!$B$9,Paramètres!$A$1:$I$89,5,0)</f>
        <v>139.63872000000001</v>
      </c>
      <c r="P41" s="14">
        <f t="shared" si="33"/>
        <v>36.214228878025224</v>
      </c>
      <c r="Q41" s="22">
        <f t="shared" si="53"/>
        <v>306.27721929589393</v>
      </c>
      <c r="R41" s="62">
        <f t="shared" si="0"/>
        <v>579.18158529951097</v>
      </c>
      <c r="S41" s="62">
        <f ca="1">AVERAGE(OFFSET($R$3,0,0,'Données projet'!$E$9+1,1))-AVERAGE(OFFSET($H$3,0,0,'Données projet'!$E$9+1,1))</f>
        <v>326.68822125342342</v>
      </c>
      <c r="T41" s="62">
        <f t="shared" si="34"/>
        <v>332.44447101343894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3.8</v>
      </c>
      <c r="AI41" s="14">
        <f>IF('Données projet'!$A$62&gt;35,AI40+AH41-AQ40,IF(A41&lt;'Données projet'!$A$62,$AF$205^A41,IF(A41='Données projet'!$A$62,'Données projet'!$B$62,AI40+AH41-AQ40)))</f>
        <v>175.39999999999992</v>
      </c>
      <c r="AJ41" s="14">
        <f>AI41*VLOOKUP('Données projet'!$B$10,Paramètres!$A$1:$I$89,3,0)*VLOOKUP('Données projet'!$B$10,Paramètres!$A$1:$I$89,5,0)</f>
        <v>158.70191999999992</v>
      </c>
      <c r="AK41" s="14">
        <f t="shared" si="35"/>
        <v>40.549591173644728</v>
      </c>
      <c r="AL41" s="22">
        <f t="shared" si="4"/>
        <v>347.02971529409774</v>
      </c>
      <c r="AM41" s="62">
        <f t="shared" si="5"/>
        <v>619.93408129771478</v>
      </c>
      <c r="AN41" s="62">
        <f ca="1">AVERAGE(OFFSET($AM$3,0,0,'Données projet'!$E$10+1,1))-AVERAGE(OFFSET($H$3,0,0,'Données projet'!$E$10+1,1))</f>
        <v>251.79502399207217</v>
      </c>
      <c r="AO41" s="62">
        <f t="shared" si="36"/>
        <v>353.30085932455904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1.5915263351896023</v>
      </c>
      <c r="AV41" s="23">
        <f>EXP(-LN(2)/25)*AV40+(1-EXP(-LN(2)/25))/(LN(2)/25)*Calculateur!AQ41*Calculateur!AS41*VLOOKUP('Données projet'!$B$10,Paramètres!$A$1:$I$89,3,0)*0.475*44/12</f>
        <v>1.1651739839342483</v>
      </c>
      <c r="AW41" s="23">
        <f>EXP(-LN(2)/2)*AW40+(1-EXP(-LN(2)/2))/(LN(2)/2)*AQ41*AT41*VLOOKUP('Données projet'!$B$10,Paramètres!$A$1:$I$89,3,0)*0.475*44/12</f>
        <v>0.17875295565789243</v>
      </c>
      <c r="AX41" s="23">
        <f t="shared" si="6"/>
        <v>2.935453274781743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64.428463455531897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1.4255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5.2268333333333334</v>
      </c>
      <c r="H42" s="70">
        <f t="shared" si="1"/>
        <v>222.1695666666667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7.2</v>
      </c>
      <c r="N42" s="14">
        <f>IF('Données projet'!$A$36&gt;35,N41+M42-V41,IF(A42&lt;'Données projet'!$A$36,$K$205^A42,IF(A42='Données projet'!$A$36,'Données projet'!$B$36,N41+M42-V41)))</f>
        <v>140.79999999999998</v>
      </c>
      <c r="O42" s="14">
        <f>N42*VLOOKUP('Données projet'!$B$9,Paramètres!$A$1:$I$89,3,0)*VLOOKUP('Données projet'!$B$9,Paramètres!$A$1:$I$89,5,0)</f>
        <v>147.16416000000001</v>
      </c>
      <c r="P42" s="14">
        <f t="shared" si="33"/>
        <v>37.93341666809318</v>
      </c>
      <c r="Q42" s="22">
        <f t="shared" si="53"/>
        <v>322.3782793635956</v>
      </c>
      <c r="R42" s="62">
        <f t="shared" si="0"/>
        <v>595.63704227805442</v>
      </c>
      <c r="S42" s="62">
        <f ca="1">AVERAGE(OFFSET($R$3,0,0,'Données projet'!$E$9+1,1))-AVERAGE(OFFSET($H$3,0,0,'Données projet'!$E$9+1,1))</f>
        <v>326.68822125342342</v>
      </c>
      <c r="T42" s="62">
        <f t="shared" si="34"/>
        <v>332.44447101343894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3.8</v>
      </c>
      <c r="AI42" s="14">
        <f>IF('Données projet'!$A$62&gt;35,AI41+AH42-AQ41,IF(A42&lt;'Données projet'!$A$62,$AF$205^A42,IF(A42='Données projet'!$A$62,'Données projet'!$B$62,AI41+AH42-AQ41)))</f>
        <v>179.19999999999993</v>
      </c>
      <c r="AJ42" s="14">
        <f>AI42*VLOOKUP('Données projet'!$B$10,Paramètres!$A$1:$I$89,3,0)*VLOOKUP('Données projet'!$B$10,Paramètres!$A$1:$I$89,5,0)</f>
        <v>162.14015999999992</v>
      </c>
      <c r="AK42" s="14">
        <f t="shared" si="35"/>
        <v>41.324860537333677</v>
      </c>
      <c r="AL42" s="22">
        <f t="shared" si="4"/>
        <v>354.36824410252262</v>
      </c>
      <c r="AM42" s="62">
        <f t="shared" si="5"/>
        <v>627.62700701698145</v>
      </c>
      <c r="AN42" s="62">
        <f ca="1">AVERAGE(OFFSET($AM$3,0,0,'Données projet'!$E$10+1,1))-AVERAGE(OFFSET($H$3,0,0,'Données projet'!$E$10+1,1))</f>
        <v>251.79502399207217</v>
      </c>
      <c r="AO42" s="62">
        <f t="shared" si="36"/>
        <v>353.30085932455904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1.5603174744917465</v>
      </c>
      <c r="AV42" s="23">
        <f>EXP(-LN(2)/25)*AV41+(1-EXP(-LN(2)/25))/(LN(2)/25)*Calculateur!AQ42*Calculateur!AS42*VLOOKUP('Données projet'!$B$10,Paramètres!$A$1:$I$89,3,0)*0.475*44/12</f>
        <v>1.1333122400697295</v>
      </c>
      <c r="AW42" s="23">
        <f>EXP(-LN(2)/2)*AW41+(1-EXP(-LN(2)/2))/(LN(2)/2)*AQ42*AT42*VLOOKUP('Données projet'!$B$10,Paramètres!$A$1:$I$89,3,0)*0.475*44/12</f>
        <v>0.12639742710283397</v>
      </c>
      <c r="AX42" s="23">
        <f t="shared" si="6"/>
        <v>2.8200271416643101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64.525117158488754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1.4255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5.2268333333333334</v>
      </c>
      <c r="H43" s="70">
        <f t="shared" si="1"/>
        <v>222.1695666666667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148</v>
      </c>
      <c r="L43" s="13">
        <f>VLOOKUP(A43,'Données projet'!$A$35:$I$55,9,0)</f>
        <v>7.2</v>
      </c>
      <c r="M43" s="13">
        <f t="array" ref="M43">INDEX(L:L,MIN(IF(ISNUMBER(L43:L239),ROW(L43:L239),"")))</f>
        <v>7.2</v>
      </c>
      <c r="N43" s="14">
        <f>IF('Données projet'!$A$36&gt;35,N42+M43-V42,IF(A43&lt;'Données projet'!$A$36,$K$205^A43,IF(A43='Données projet'!$A$36,'Données projet'!$B$36,N42+M43-V42)))</f>
        <v>147.99999999999997</v>
      </c>
      <c r="O43" s="14">
        <f>N43*VLOOKUP('Données projet'!$B$9,Paramètres!$A$1:$I$89,3,0)*VLOOKUP('Données projet'!$B$9,Paramètres!$A$1:$I$89,5,0)</f>
        <v>154.68959999999998</v>
      </c>
      <c r="P43" s="14">
        <f t="shared" si="33"/>
        <v>39.64239708177282</v>
      </c>
      <c r="Q43" s="22">
        <f t="shared" si="53"/>
        <v>338.46156158408763</v>
      </c>
      <c r="R43" s="62">
        <f t="shared" si="0"/>
        <v>612.06857341529792</v>
      </c>
      <c r="S43" s="62">
        <f ca="1">AVERAGE(OFFSET($R$3,0,0,'Données projet'!$E$9+1,1))-AVERAGE(OFFSET($H$3,0,0,'Données projet'!$E$9+1,1))</f>
        <v>326.68822125342342</v>
      </c>
      <c r="T43" s="62">
        <f t="shared" si="34"/>
        <v>332.44447101343894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183</v>
      </c>
      <c r="AG43" s="13">
        <f>VLOOKUP(A43,'Données projet'!$A$61:$I$81,9,0)</f>
        <v>3.8</v>
      </c>
      <c r="AH43" s="13">
        <f t="array" ref="AH43">INDEX(AG:AG,MIN(IF(ISNUMBER(AG43:AG239),ROW(AG43:AG239),"")))</f>
        <v>3.8</v>
      </c>
      <c r="AI43" s="14">
        <f>IF('Données projet'!$A$62&gt;35,AI42+AH43-AQ42,IF(A43&lt;'Données projet'!$A$62,$AF$205^A43,IF(A43='Données projet'!$A$62,'Données projet'!$B$62,AI42+AH43-AQ42)))</f>
        <v>182.99999999999994</v>
      </c>
      <c r="AJ43" s="14">
        <f>AI43*VLOOKUP('Données projet'!$B$10,Paramètres!$A$1:$I$89,3,0)*VLOOKUP('Données projet'!$B$10,Paramètres!$A$1:$I$89,5,0)</f>
        <v>165.57839999999993</v>
      </c>
      <c r="AK43" s="14">
        <f t="shared" si="35"/>
        <v>42.098218509199661</v>
      </c>
      <c r="AL43" s="22">
        <f t="shared" si="4"/>
        <v>361.70344390352261</v>
      </c>
      <c r="AM43" s="62">
        <f t="shared" si="5"/>
        <v>635.31045573473284</v>
      </c>
      <c r="AN43" s="62">
        <f ca="1">AVERAGE(OFFSET($AM$3,0,0,'Données projet'!$E$10+1,1))-AVERAGE(OFFSET($H$3,0,0,'Données projet'!$E$10+1,1))</f>
        <v>251.79502399207217</v>
      </c>
      <c r="AO43" s="62">
        <f t="shared" si="36"/>
        <v>353.30085932455904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1.5297206005166504</v>
      </c>
      <c r="AV43" s="23">
        <f>EXP(-LN(2)/25)*AV42+(1-EXP(-LN(2)/25))/(LN(2)/25)*Calculateur!AQ43*Calculateur!AS43*VLOOKUP('Données projet'!$B$10,Paramètres!$A$1:$I$89,3,0)*0.475*44/12</f>
        <v>1.1023217572667223</v>
      </c>
      <c r="AW43" s="23">
        <f>EXP(-LN(2)/2)*AW42+(1-EXP(-LN(2)/2))/(LN(2)/2)*AQ43*AT43*VLOOKUP('Données projet'!$B$10,Paramètres!$A$1:$I$89,3,0)*0.475*44/12</f>
        <v>8.9376477828946213E-2</v>
      </c>
      <c r="AX43" s="23">
        <f t="shared" si="6"/>
        <v>2.7214188356123192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64.620094135784626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1.4255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5.2268333333333334</v>
      </c>
      <c r="H44" s="70">
        <f t="shared" si="1"/>
        <v>222.1695666666667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6.4</v>
      </c>
      <c r="N44" s="14">
        <f>IF('Données projet'!$A$36&gt;35,N43+M44-V43,IF(A44&lt;'Données projet'!$A$36,$K$205^A44,IF(A44='Données projet'!$A$36,'Données projet'!$B$36,N43+M44-V43)))</f>
        <v>131.39999999999998</v>
      </c>
      <c r="O44" s="14">
        <f>N44*VLOOKUP('Données projet'!$B$9,Paramètres!$A$1:$I$89,3,0)*VLOOKUP('Données projet'!$B$9,Paramètres!$A$1:$I$89,5,0)</f>
        <v>137.33928</v>
      </c>
      <c r="P44" s="14">
        <f t="shared" si="33"/>
        <v>35.686792884580939</v>
      </c>
      <c r="Q44" s="22">
        <f t="shared" si="53"/>
        <v>301.3537436073118</v>
      </c>
      <c r="R44" s="62">
        <f t="shared" si="0"/>
        <v>575.3029630151359</v>
      </c>
      <c r="S44" s="62">
        <f ca="1">AVERAGE(OFFSET($R$3,0,0,'Données projet'!$E$9+1,1))-AVERAGE(OFFSET($H$3,0,0,'Données projet'!$E$9+1,1))</f>
        <v>326.68822125342342</v>
      </c>
      <c r="T44" s="62">
        <f t="shared" si="34"/>
        <v>332.44447101343894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3.8</v>
      </c>
      <c r="AI44" s="14">
        <f>IF('Données projet'!$A$62&gt;35,AI43+AH44-AQ43,IF(A44&lt;'Données projet'!$A$62,$AF$205^A44,IF(A44='Données projet'!$A$62,'Données projet'!$B$62,AI43+AH44-AQ43)))</f>
        <v>182.79999999999995</v>
      </c>
      <c r="AJ44" s="14">
        <f>AI44*VLOOKUP('Données projet'!$B$10,Paramètres!$A$1:$I$89,3,0)*VLOOKUP('Données projet'!$B$10,Paramètres!$A$1:$I$89,5,0)</f>
        <v>165.39743999999996</v>
      </c>
      <c r="AK44" s="14">
        <f t="shared" si="35"/>
        <v>42.057562385840804</v>
      </c>
      <c r="AL44" s="22">
        <f t="shared" si="4"/>
        <v>361.31746248867267</v>
      </c>
      <c r="AM44" s="62">
        <f t="shared" si="5"/>
        <v>635.26668189649683</v>
      </c>
      <c r="AN44" s="62">
        <f ca="1">AVERAGE(OFFSET($AM$3,0,0,'Données projet'!$E$10+1,1))-AVERAGE(OFFSET($H$3,0,0,'Données projet'!$E$10+1,1))</f>
        <v>251.79502399207217</v>
      </c>
      <c r="AO44" s="62">
        <f t="shared" si="36"/>
        <v>353.30085932455904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1.4997237125779554</v>
      </c>
      <c r="AV44" s="23">
        <f>EXP(-LN(2)/25)*AV43+(1-EXP(-LN(2)/25))/(LN(2)/25)*Calculateur!AQ44*Calculateur!AS44*VLOOKUP('Données projet'!$B$10,Paramètres!$A$1:$I$89,3,0)*0.475*44/12</f>
        <v>1.0721787108456819</v>
      </c>
      <c r="AW44" s="23">
        <f>EXP(-LN(2)/2)*AW43+(1-EXP(-LN(2)/2))/(LN(2)/2)*AQ44*AT44*VLOOKUP('Données projet'!$B$10,Paramètres!$A$1:$I$89,3,0)*0.475*44/12</f>
        <v>6.3198713551416985E-2</v>
      </c>
      <c r="AX44" s="23">
        <f t="shared" si="6"/>
        <v>2.6351011369750541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64.713423474861131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1.4255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5.2268333333333334</v>
      </c>
      <c r="H45" s="70">
        <f t="shared" si="1"/>
        <v>222.1695666666667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6.4</v>
      </c>
      <c r="N45" s="14">
        <f>IF('Données projet'!$A$36&gt;35,N44+M45-V44,IF(A45&lt;'Données projet'!$A$36,$K$205^A45,IF(A45='Données projet'!$A$36,'Données projet'!$B$36,N44+M45-V44)))</f>
        <v>137.79999999999998</v>
      </c>
      <c r="O45" s="14">
        <f>N45*VLOOKUP('Données projet'!$B$9,Paramètres!$A$1:$I$89,3,0)*VLOOKUP('Données projet'!$B$9,Paramètres!$A$1:$I$89,5,0)</f>
        <v>144.02856</v>
      </c>
      <c r="P45" s="14">
        <f t="shared" si="33"/>
        <v>37.218362737449134</v>
      </c>
      <c r="Q45" s="22">
        <f t="shared" si="53"/>
        <v>315.6717237677239</v>
      </c>
      <c r="R45" s="62">
        <f t="shared" si="0"/>
        <v>589.95721421576911</v>
      </c>
      <c r="S45" s="62">
        <f ca="1">AVERAGE(OFFSET($R$3,0,0,'Données projet'!$E$9+1,1))-AVERAGE(OFFSET($H$3,0,0,'Données projet'!$E$9+1,1))</f>
        <v>326.68822125342342</v>
      </c>
      <c r="T45" s="62">
        <f t="shared" si="34"/>
        <v>332.44447101343894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3.8</v>
      </c>
      <c r="AI45" s="14">
        <f>IF('Données projet'!$A$62&gt;35,AI44+AH45-AQ44,IF(A45&lt;'Données projet'!$A$62,$AF$205^A45,IF(A45='Données projet'!$A$62,'Données projet'!$B$62,AI44+AH45-AQ44)))</f>
        <v>186.59999999999997</v>
      </c>
      <c r="AJ45" s="14">
        <f>AI45*VLOOKUP('Données projet'!$B$10,Paramètres!$A$1:$I$89,3,0)*VLOOKUP('Données projet'!$B$10,Paramètres!$A$1:$I$89,5,0)</f>
        <v>168.83567999999994</v>
      </c>
      <c r="AK45" s="14">
        <f t="shared" si="35"/>
        <v>42.829150426593394</v>
      </c>
      <c r="AL45" s="22">
        <f t="shared" si="4"/>
        <v>368.64957965965004</v>
      </c>
      <c r="AM45" s="62">
        <f t="shared" si="5"/>
        <v>642.93507010769531</v>
      </c>
      <c r="AN45" s="62">
        <f ca="1">AVERAGE(OFFSET($AM$3,0,0,'Données projet'!$E$10+1,1))-AVERAGE(OFFSET($H$3,0,0,'Données projet'!$E$10+1,1))</f>
        <v>251.79502399207217</v>
      </c>
      <c r="AO45" s="62">
        <f t="shared" si="36"/>
        <v>353.30085932455904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1.4703150453154432</v>
      </c>
      <c r="AV45" s="23">
        <f>EXP(-LN(2)/25)*AV44+(1-EXP(-LN(2)/25))/(LN(2)/25)*Calculateur!AQ45*Calculateur!AS45*VLOOKUP('Données projet'!$B$10,Paramètres!$A$1:$I$89,3,0)*0.475*44/12</f>
        <v>1.0428599276141788</v>
      </c>
      <c r="AW45" s="23">
        <f>EXP(-LN(2)/2)*AW44+(1-EXP(-LN(2)/2))/(LN(2)/2)*AQ45*AT45*VLOOKUP('Données projet'!$B$10,Paramètres!$A$1:$I$89,3,0)*0.475*44/12</f>
        <v>4.4688238914473107E-2</v>
      </c>
      <c r="AX45" s="23">
        <f t="shared" si="6"/>
        <v>2.5578632118440949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64.805133758557787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1.4255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5.2268333333333334</v>
      </c>
      <c r="H46" s="70">
        <f t="shared" si="1"/>
        <v>222.1695666666667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6.4</v>
      </c>
      <c r="N46" s="14">
        <f>IF('Données projet'!$A$36&gt;35,N45+M46-V45,IF(A46&lt;'Données projet'!$A$36,$K$205^A46,IF(A46='Données projet'!$A$36,'Données projet'!$B$36,N45+M46-V45)))</f>
        <v>144.19999999999999</v>
      </c>
      <c r="O46" s="14">
        <f>N46*VLOOKUP('Données projet'!$B$9,Paramètres!$A$1:$I$89,3,0)*VLOOKUP('Données projet'!$B$9,Paramètres!$A$1:$I$89,5,0)</f>
        <v>150.71784000000002</v>
      </c>
      <c r="P46" s="14">
        <f t="shared" si="33"/>
        <v>38.741671981677534</v>
      </c>
      <c r="Q46" s="22">
        <f t="shared" si="53"/>
        <v>329.97531670142172</v>
      </c>
      <c r="R46" s="62">
        <f t="shared" si="0"/>
        <v>604.59124463892965</v>
      </c>
      <c r="S46" s="62">
        <f ca="1">AVERAGE(OFFSET($R$3,0,0,'Données projet'!$E$9+1,1))-AVERAGE(OFFSET($H$3,0,0,'Données projet'!$E$9+1,1))</f>
        <v>326.68822125342342</v>
      </c>
      <c r="T46" s="62">
        <f t="shared" si="34"/>
        <v>332.44447101343894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3.8</v>
      </c>
      <c r="AI46" s="14">
        <f>IF('Données projet'!$A$62&gt;35,AI45+AH46-AQ45,IF(A46&lt;'Données projet'!$A$62,$AF$205^A46,IF(A46='Données projet'!$A$62,'Données projet'!$B$62,AI45+AH46-AQ45)))</f>
        <v>190.39999999999998</v>
      </c>
      <c r="AJ46" s="14">
        <f>AI46*VLOOKUP('Données projet'!$B$10,Paramètres!$A$1:$I$89,3,0)*VLOOKUP('Données projet'!$B$10,Paramètres!$A$1:$I$89,5,0)</f>
        <v>172.27391999999998</v>
      </c>
      <c r="AK46" s="14">
        <f t="shared" si="35"/>
        <v>43.598911513699605</v>
      </c>
      <c r="AL46" s="22">
        <f t="shared" si="4"/>
        <v>375.97851488636002</v>
      </c>
      <c r="AM46" s="62">
        <f t="shared" si="5"/>
        <v>650.59444282386789</v>
      </c>
      <c r="AN46" s="62">
        <f ca="1">AVERAGE(OFFSET($AM$3,0,0,'Données projet'!$E$10+1,1))-AVERAGE(OFFSET($H$3,0,0,'Données projet'!$E$10+1,1))</f>
        <v>251.79502399207217</v>
      </c>
      <c r="AO46" s="62">
        <f t="shared" si="36"/>
        <v>353.30085932455904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1.441483064080433</v>
      </c>
      <c r="AV46" s="23">
        <f>EXP(-LN(2)/25)*AV45+(1-EXP(-LN(2)/25))/(LN(2)/25)*Calculateur!AQ46*Calculateur!AS46*VLOOKUP('Données projet'!$B$10,Paramètres!$A$1:$I$89,3,0)*0.475*44/12</f>
        <v>1.0143428680519491</v>
      </c>
      <c r="AW46" s="23">
        <f>EXP(-LN(2)/2)*AW45+(1-EXP(-LN(2)/2))/(LN(2)/2)*AQ46*AT46*VLOOKUP('Données projet'!$B$10,Paramètres!$A$1:$I$89,3,0)*0.475*44/12</f>
        <v>3.1599356775708493E-2</v>
      </c>
      <c r="AX46" s="23">
        <f t="shared" si="6"/>
        <v>2.4874252889080903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64.895253073865803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1.4255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5.2268333333333334</v>
      </c>
      <c r="H47" s="70">
        <f t="shared" si="1"/>
        <v>222.1695666666667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6.4</v>
      </c>
      <c r="N47" s="14">
        <f>IF('Données projet'!$A$36&gt;35,N46+M47-V46,IF(A47&lt;'Données projet'!$A$36,$K$205^A47,IF(A47='Données projet'!$A$36,'Données projet'!$B$36,N46+M47-V46)))</f>
        <v>150.6</v>
      </c>
      <c r="O47" s="14">
        <f>N47*VLOOKUP('Données projet'!$B$9,Paramètres!$A$1:$I$89,3,0)*VLOOKUP('Données projet'!$B$9,Paramètres!$A$1:$I$89,5,0)</f>
        <v>157.40712000000002</v>
      </c>
      <c r="P47" s="14">
        <f t="shared" si="33"/>
        <v>40.257129140302432</v>
      </c>
      <c r="Q47" s="22">
        <f t="shared" si="53"/>
        <v>344.26523391936007</v>
      </c>
      <c r="R47" s="62">
        <f t="shared" si="0"/>
        <v>619.20586699463615</v>
      </c>
      <c r="S47" s="62">
        <f ca="1">AVERAGE(OFFSET($R$3,0,0,'Données projet'!$E$9+1,1))-AVERAGE(OFFSET($H$3,0,0,'Données projet'!$E$9+1,1))</f>
        <v>326.68822125342342</v>
      </c>
      <c r="T47" s="62">
        <f t="shared" si="34"/>
        <v>332.44447101343894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3.8</v>
      </c>
      <c r="AI47" s="14">
        <f>IF('Données projet'!$A$62&gt;35,AI46+AH47-AQ46,IF(A47&lt;'Données projet'!$A$62,$AF$205^A47,IF(A47='Données projet'!$A$62,'Données projet'!$B$62,AI46+AH47-AQ46)))</f>
        <v>194.2</v>
      </c>
      <c r="AJ47" s="14">
        <f>AI47*VLOOKUP('Données projet'!$B$10,Paramètres!$A$1:$I$89,3,0)*VLOOKUP('Données projet'!$B$10,Paramètres!$A$1:$I$89,5,0)</f>
        <v>175.71215999999998</v>
      </c>
      <c r="AK47" s="14">
        <f t="shared" si="35"/>
        <v>44.366886311884528</v>
      </c>
      <c r="AL47" s="22">
        <f t="shared" si="4"/>
        <v>383.30433899319883</v>
      </c>
      <c r="AM47" s="62">
        <f t="shared" si="5"/>
        <v>658.24497206847491</v>
      </c>
      <c r="AN47" s="62">
        <f ca="1">AVERAGE(OFFSET($AM$3,0,0,'Données projet'!$E$10+1,1))-AVERAGE(OFFSET($H$3,0,0,'Données projet'!$E$10+1,1))</f>
        <v>251.79502399207217</v>
      </c>
      <c r="AO47" s="62">
        <f t="shared" si="36"/>
        <v>353.30085932455904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1.4132164604116693</v>
      </c>
      <c r="AV47" s="23">
        <f>EXP(-LN(2)/25)*AV46+(1-EXP(-LN(2)/25))/(LN(2)/25)*Calculateur!AQ47*Calculateur!AS47*VLOOKUP('Données projet'!$B$10,Paramètres!$A$1:$I$89,3,0)*0.475*44/12</f>
        <v>0.98660560898309535</v>
      </c>
      <c r="AW47" s="23">
        <f>EXP(-LN(2)/2)*AW46+(1-EXP(-LN(2)/2))/(LN(2)/2)*AQ47*AT47*VLOOKUP('Données projet'!$B$10,Paramètres!$A$1:$I$89,3,0)*0.475*44/12</f>
        <v>2.2344119457236553E-2</v>
      </c>
      <c r="AX47" s="23">
        <f t="shared" si="6"/>
        <v>2.422166188852001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64.983809020529819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1.4255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5.2268333333333334</v>
      </c>
      <c r="H48" s="70">
        <f t="shared" si="1"/>
        <v>222.1695666666667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157</v>
      </c>
      <c r="L48" s="13">
        <f>VLOOKUP(A48,'Données projet'!$A$35:$I$55,9,0)</f>
        <v>6.4</v>
      </c>
      <c r="M48" s="13">
        <f t="array" ref="M48">INDEX(L:L,MIN(IF(ISNUMBER(L48:L244),ROW(L48:L244),"")))</f>
        <v>6.4</v>
      </c>
      <c r="N48" s="14">
        <f>IF('Données projet'!$A$36&gt;35,N47+M48-V47,IF(A48&lt;'Données projet'!$A$36,$K$205^A48,IF(A48='Données projet'!$A$36,'Données projet'!$B$36,N47+M48-V47)))</f>
        <v>157</v>
      </c>
      <c r="O48" s="14">
        <f>N48*VLOOKUP('Données projet'!$B$9,Paramètres!$A$1:$I$89,3,0)*VLOOKUP('Données projet'!$B$9,Paramètres!$A$1:$I$89,5,0)</f>
        <v>164.09640000000002</v>
      </c>
      <c r="P48" s="14">
        <f t="shared" si="33"/>
        <v>41.765106050628262</v>
      </c>
      <c r="Q48" s="22">
        <f t="shared" si="53"/>
        <v>358.54212303817758</v>
      </c>
      <c r="R48" s="62">
        <f t="shared" si="0"/>
        <v>633.80182834301331</v>
      </c>
      <c r="S48" s="62">
        <f ca="1">AVERAGE(OFFSET($R$3,0,0,'Données projet'!$E$9+1,1))-AVERAGE(OFFSET($H$3,0,0,'Données projet'!$E$9+1,1))</f>
        <v>326.68822125342342</v>
      </c>
      <c r="T48" s="62">
        <f t="shared" si="34"/>
        <v>332.44447101343894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198</v>
      </c>
      <c r="AG48" s="13">
        <f>VLOOKUP(A48,'Données projet'!$A$61:$I$81,9,0)</f>
        <v>3.8</v>
      </c>
      <c r="AH48" s="13">
        <f t="array" ref="AH48">INDEX(AG:AG,MIN(IF(ISNUMBER(AG48:AG244),ROW(AG48:AG244),"")))</f>
        <v>3.8</v>
      </c>
      <c r="AI48" s="14">
        <f>IF('Données projet'!$A$62&gt;35,AI47+AH48-AQ47,IF(A48&lt;'Données projet'!$A$62,$AF$205^A48,IF(A48='Données projet'!$A$62,'Données projet'!$B$62,AI47+AH48-AQ47)))</f>
        <v>198</v>
      </c>
      <c r="AJ48" s="14">
        <f>AI48*VLOOKUP('Données projet'!$B$10,Paramètres!$A$1:$I$89,3,0)*VLOOKUP('Données projet'!$B$10,Paramètres!$A$1:$I$89,5,0)</f>
        <v>179.15039999999999</v>
      </c>
      <c r="AK48" s="14">
        <f t="shared" si="35"/>
        <v>45.133113803437304</v>
      </c>
      <c r="AL48" s="22">
        <f t="shared" si="4"/>
        <v>390.62711987431993</v>
      </c>
      <c r="AM48" s="62">
        <f t="shared" si="5"/>
        <v>665.88682517915572</v>
      </c>
      <c r="AN48" s="62">
        <f ca="1">AVERAGE(OFFSET($AM$3,0,0,'Données projet'!$E$10+1,1))-AVERAGE(OFFSET($H$3,0,0,'Données projet'!$E$10+1,1))</f>
        <v>251.79502399207217</v>
      </c>
      <c r="AO48" s="62">
        <f t="shared" si="36"/>
        <v>353.30085932455904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198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1.3855041475999241</v>
      </c>
      <c r="AV48" s="23">
        <f>EXP(-LN(2)/25)*AV47+(1-EXP(-LN(2)/25))/(LN(2)/25)*Calculateur!AQ48*Calculateur!AS48*VLOOKUP('Données projet'!$B$10,Paramètres!$A$1:$I$89,3,0)*0.475*44/12</f>
        <v>0.95962682672211852</v>
      </c>
      <c r="AW48" s="23">
        <f>EXP(-LN(2)/2)*AW47+(1-EXP(-LN(2)/2))/(LN(2)/2)*AQ48*AT48*VLOOKUP('Données projet'!$B$10,Paramètres!$A$1:$I$89,3,0)*0.475*44/12</f>
        <v>1.5799678387854246E-2</v>
      </c>
      <c r="AX48" s="23">
        <f t="shared" si="6"/>
        <v>2.360930652709897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65.070828719500653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1.4255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5.2268333333333334</v>
      </c>
      <c r="H49" s="70">
        <f t="shared" si="1"/>
        <v>222.1695666666667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5.8</v>
      </c>
      <c r="N49" s="14">
        <f>IF('Données projet'!$A$36&gt;35,N48+M49-V48,IF(A49&lt;'Données projet'!$A$36,$K$205^A49,IF(A49='Données projet'!$A$36,'Données projet'!$B$36,N48+M49-V48)))</f>
        <v>141.80000000000001</v>
      </c>
      <c r="O49" s="14">
        <f>N49*VLOOKUP('Données projet'!$B$9,Paramètres!$A$1:$I$89,3,0)*VLOOKUP('Données projet'!$B$9,Paramètres!$A$1:$I$89,5,0)</f>
        <v>148.20936000000003</v>
      </c>
      <c r="P49" s="14">
        <f t="shared" si="33"/>
        <v>38.171372269805182</v>
      </c>
      <c r="Q49" s="22">
        <f t="shared" si="53"/>
        <v>324.61310870324411</v>
      </c>
      <c r="R49" s="62">
        <f t="shared" si="0"/>
        <v>600.18635104779537</v>
      </c>
      <c r="S49" s="62">
        <f ca="1">AVERAGE(OFFSET($R$3,0,0,'Données projet'!$E$9+1,1))-AVERAGE(OFFSET($H$3,0,0,'Données projet'!$E$9+1,1))</f>
        <v>326.68822125342342</v>
      </c>
      <c r="T49" s="62">
        <f t="shared" si="34"/>
        <v>332.44447101343894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251.79502399207217</v>
      </c>
      <c r="AO49" s="62">
        <f t="shared" si="36"/>
        <v>353.30085932455904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1.3583352563395754</v>
      </c>
      <c r="AV49" s="23">
        <f>EXP(-LN(2)/25)*AV48+(1-EXP(-LN(2)/25))/(LN(2)/25)*Calculateur!AQ49*Calculateur!AS49*VLOOKUP('Données projet'!$B$10,Paramètres!$A$1:$I$89,3,0)*0.475*44/12</f>
        <v>0.93338578068082068</v>
      </c>
      <c r="AW49" s="23">
        <f>EXP(-LN(2)/2)*AW48+(1-EXP(-LN(2)/2))/(LN(2)/2)*AQ49*AT49*VLOOKUP('Données projet'!$B$10,Paramètres!$A$1:$I$89,3,0)*0.475*44/12</f>
        <v>1.1172059728618277E-2</v>
      </c>
      <c r="AX49" s="23">
        <f t="shared" si="6"/>
        <v>2.3028930967490142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65.156338821241249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1.4255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5.2268333333333334</v>
      </c>
      <c r="H50" s="70">
        <f t="shared" si="1"/>
        <v>222.1695666666667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5.8</v>
      </c>
      <c r="N50" s="14">
        <f>IF('Données projet'!$A$36&gt;35,N49+M50-V49,IF(A50&lt;'Données projet'!$A$36,$K$205^A50,IF(A50='Données projet'!$A$36,'Données projet'!$B$36,N49+M50-V49)))</f>
        <v>147.60000000000002</v>
      </c>
      <c r="O50" s="14">
        <f>N50*VLOOKUP('Données projet'!$B$9,Paramètres!$A$1:$I$89,3,0)*VLOOKUP('Données projet'!$B$9,Paramètres!$A$1:$I$89,5,0)</f>
        <v>154.27152000000004</v>
      </c>
      <c r="P50" s="14">
        <f t="shared" si="33"/>
        <v>39.547711845491243</v>
      </c>
      <c r="Q50" s="22">
        <f t="shared" si="53"/>
        <v>337.56849546423069</v>
      </c>
      <c r="R50" s="62">
        <f t="shared" si="0"/>
        <v>613.44983568182215</v>
      </c>
      <c r="S50" s="62">
        <f ca="1">AVERAGE(OFFSET($R$3,0,0,'Données projet'!$E$9+1,1))-AVERAGE(OFFSET($H$3,0,0,'Données projet'!$E$9+1,1))</f>
        <v>326.68822125342342</v>
      </c>
      <c r="T50" s="62">
        <f t="shared" si="34"/>
        <v>332.44447101343894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251.79502399207217</v>
      </c>
      <c r="AO50" s="62">
        <f t="shared" si="36"/>
        <v>353.30085932455904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1.3316991304654549</v>
      </c>
      <c r="AV50" s="23">
        <f>EXP(-LN(2)/25)*AV49+(1-EXP(-LN(2)/25))/(LN(2)/25)*Calculateur!AQ50*Calculateur!AS50*VLOOKUP('Données projet'!$B$10,Paramètres!$A$1:$I$89,3,0)*0.475*44/12</f>
        <v>0.90786229742347868</v>
      </c>
      <c r="AW50" s="23">
        <f>EXP(-LN(2)/2)*AW49+(1-EXP(-LN(2)/2))/(LN(2)/2)*AQ50*AT50*VLOOKUP('Données projet'!$B$10,Paramètres!$A$1:$I$89,3,0)*0.475*44/12</f>
        <v>7.8998391939271231E-3</v>
      </c>
      <c r="AX50" s="23">
        <f t="shared" si="6"/>
        <v>2.2474612670828606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65.240365513888591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1.4255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5.2268333333333334</v>
      </c>
      <c r="H51" s="70">
        <f t="shared" si="1"/>
        <v>222.1695666666667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5.8</v>
      </c>
      <c r="N51" s="14">
        <f>IF('Données projet'!$A$36&gt;35,N50+M51-V50,IF(A51&lt;'Données projet'!$A$36,$K$205^A51,IF(A51='Données projet'!$A$36,'Données projet'!$B$36,N50+M51-V50)))</f>
        <v>153.40000000000003</v>
      </c>
      <c r="O51" s="14">
        <f>N51*VLOOKUP('Données projet'!$B$9,Paramètres!$A$1:$I$89,3,0)*VLOOKUP('Données projet'!$B$9,Paramètres!$A$1:$I$89,5,0)</f>
        <v>160.33368000000007</v>
      </c>
      <c r="P51" s="14">
        <f t="shared" si="33"/>
        <v>40.917768734126462</v>
      </c>
      <c r="Q51" s="22">
        <f t="shared" si="53"/>
        <v>350.51293987860367</v>
      </c>
      <c r="R51" s="62">
        <f t="shared" si="0"/>
        <v>626.69703315994184</v>
      </c>
      <c r="S51" s="62">
        <f ca="1">AVERAGE(OFFSET($R$3,0,0,'Données projet'!$E$9+1,1))-AVERAGE(OFFSET($H$3,0,0,'Données projet'!$E$9+1,1))</f>
        <v>326.68822125342342</v>
      </c>
      <c r="T51" s="62">
        <f t="shared" si="34"/>
        <v>332.44447101343894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251.79502399207217</v>
      </c>
      <c r="AO51" s="62">
        <f t="shared" si="36"/>
        <v>353.30085932455904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1.3055853227732932</v>
      </c>
      <c r="AV51" s="23">
        <f>EXP(-LN(2)/25)*AV50+(1-EXP(-LN(2)/25))/(LN(2)/25)*Calculateur!AQ51*Calculateur!AS51*VLOOKUP('Données projet'!$B$10,Paramètres!$A$1:$I$89,3,0)*0.475*44/12</f>
        <v>0.88303675515803037</v>
      </c>
      <c r="AW51" s="23">
        <f>EXP(-LN(2)/2)*AW50+(1-EXP(-LN(2)/2))/(LN(2)/2)*AQ51*AT51*VLOOKUP('Données projet'!$B$10,Paramètres!$A$1:$I$89,3,0)*0.475*44/12</f>
        <v>5.5860298643091383E-3</v>
      </c>
      <c r="AX51" s="23">
        <f t="shared" si="6"/>
        <v>2.194208107795633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65.322934531274029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1.4255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5.2268333333333334</v>
      </c>
      <c r="H52" s="70">
        <f t="shared" si="1"/>
        <v>222.1695666666667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5.8</v>
      </c>
      <c r="N52" s="14">
        <f>IF('Données projet'!$A$36&gt;35,N51+M52-V51,IF(A52&lt;'Données projet'!$A$36,$K$205^A52,IF(A52='Données projet'!$A$36,'Données projet'!$B$36,N51+M52-V51)))</f>
        <v>159.20000000000005</v>
      </c>
      <c r="O52" s="14">
        <f>N52*VLOOKUP('Données projet'!$B$9,Paramètres!$A$1:$I$89,3,0)*VLOOKUP('Données projet'!$B$9,Paramètres!$A$1:$I$89,5,0)</f>
        <v>166.39584000000005</v>
      </c>
      <c r="P52" s="14">
        <f t="shared" si="33"/>
        <v>42.281807677960458</v>
      </c>
      <c r="Q52" s="22">
        <f t="shared" si="53"/>
        <v>363.4469030391146</v>
      </c>
      <c r="R52" s="62">
        <f t="shared" si="0"/>
        <v>639.92849729539785</v>
      </c>
      <c r="S52" s="62">
        <f ca="1">AVERAGE(OFFSET($R$3,0,0,'Données projet'!$E$9+1,1))-AVERAGE(OFFSET($H$3,0,0,'Données projet'!$E$9+1,1))</f>
        <v>326.68822125342342</v>
      </c>
      <c r="T52" s="62">
        <f t="shared" si="34"/>
        <v>332.44447101343894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251.79502399207217</v>
      </c>
      <c r="AO52" s="62">
        <f t="shared" si="36"/>
        <v>353.30085932455904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1.2799835909221249</v>
      </c>
      <c r="AV52" s="23">
        <f>EXP(-LN(2)/25)*AV51+(1-EXP(-LN(2)/25))/(LN(2)/25)*Calculateur!AQ52*Calculateur!AS52*VLOOKUP('Données projet'!$B$10,Paramètres!$A$1:$I$89,3,0)*0.475*44/12</f>
        <v>0.85889006865134931</v>
      </c>
      <c r="AW52" s="23">
        <f>EXP(-LN(2)/2)*AW51+(1-EXP(-LN(2)/2))/(LN(2)/2)*AQ52*AT52*VLOOKUP('Données projet'!$B$10,Paramètres!$A$1:$I$89,3,0)*0.475*44/12</f>
        <v>3.9499195969635616E-3</v>
      </c>
      <c r="AX52" s="23">
        <f t="shared" si="6"/>
        <v>2.1428235791704378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65.40407116080452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1.4255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5.2268333333333334</v>
      </c>
      <c r="H53" s="70">
        <f t="shared" si="1"/>
        <v>222.1695666666667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165</v>
      </c>
      <c r="L53" s="13">
        <f>VLOOKUP(A53,'Données projet'!$A$35:$I$55,9,0)</f>
        <v>5.8</v>
      </c>
      <c r="M53" s="13">
        <f t="array" ref="M53">INDEX(L:L,MIN(IF(ISNUMBER(L53:L249),ROW(L53:L249),"")))</f>
        <v>5.8</v>
      </c>
      <c r="N53" s="14">
        <f>IF('Données projet'!$A$36&gt;35,N52+M53-V52,IF(A53&lt;'Données projet'!$A$36,$K$205^A53,IF(A53='Données projet'!$A$36,'Données projet'!$B$36,N52+M53-V52)))</f>
        <v>165.00000000000006</v>
      </c>
      <c r="O53" s="14">
        <f>N53*VLOOKUP('Données projet'!$B$9,Paramètres!$A$1:$I$89,3,0)*VLOOKUP('Données projet'!$B$9,Paramètres!$A$1:$I$89,5,0)</f>
        <v>172.45800000000006</v>
      </c>
      <c r="P53" s="14">
        <f t="shared" si="33"/>
        <v>43.640073035750284</v>
      </c>
      <c r="Q53" s="22">
        <f t="shared" si="53"/>
        <v>376.37081053726519</v>
      </c>
      <c r="R53" s="62">
        <f t="shared" si="0"/>
        <v>653.14474479169075</v>
      </c>
      <c r="S53" s="62">
        <f ca="1">AVERAGE(OFFSET($R$3,0,0,'Données projet'!$E$9+1,1))-AVERAGE(OFFSET($H$3,0,0,'Données projet'!$E$9+1,1))</f>
        <v>326.68822125342342</v>
      </c>
      <c r="T53" s="62">
        <f t="shared" si="34"/>
        <v>332.44447101343894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19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251.79502399207217</v>
      </c>
      <c r="AO53" s="62">
        <f t="shared" si="36"/>
        <v>353.30085932455904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1.2548838934170434</v>
      </c>
      <c r="AV53" s="23">
        <f>EXP(-LN(2)/25)*AV52+(1-EXP(-LN(2)/25))/(LN(2)/25)*Calculateur!AQ53*Calculateur!AS53*VLOOKUP('Données projet'!$B$10,Paramètres!$A$1:$I$89,3,0)*0.475*44/12</f>
        <v>0.83540367455701248</v>
      </c>
      <c r="AW53" s="23">
        <f>EXP(-LN(2)/2)*AW52+(1-EXP(-LN(2)/2))/(LN(2)/2)*AQ53*AT53*VLOOKUP('Données projet'!$B$10,Paramètres!$A$1:$I$89,3,0)*0.475*44/12</f>
        <v>2.7930149321545692E-3</v>
      </c>
      <c r="AX53" s="23">
        <f t="shared" si="6"/>
        <v>2.0930805829062105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65.483800251206972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1.4255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5.2268333333333334</v>
      </c>
      <c r="H54" s="70">
        <f t="shared" si="1"/>
        <v>222.1695666666667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5.2</v>
      </c>
      <c r="N54" s="14">
        <f>IF('Données projet'!$A$36&gt;35,N53+M54-V53,IF(A54&lt;'Données projet'!$A$36,$K$205^A54,IF(A54='Données projet'!$A$36,'Données projet'!$B$36,N53+M54-V53)))</f>
        <v>151.20000000000005</v>
      </c>
      <c r="O54" s="14">
        <f>N54*VLOOKUP('Données projet'!$B$9,Paramètres!$A$1:$I$89,3,0)*VLOOKUP('Données projet'!$B$9,Paramètres!$A$1:$I$89,5,0)</f>
        <v>158.03424000000004</v>
      </c>
      <c r="P54" s="14">
        <f t="shared" si="33"/>
        <v>40.39881425395928</v>
      </c>
      <c r="Q54" s="22">
        <f t="shared" si="53"/>
        <v>345.60423615897912</v>
      </c>
      <c r="R54" s="62">
        <f t="shared" si="0"/>
        <v>622.66543896615349</v>
      </c>
      <c r="S54" s="62">
        <f ca="1">AVERAGE(OFFSET($R$3,0,0,'Données projet'!$E$9+1,1))-AVERAGE(OFFSET($H$3,0,0,'Données projet'!$E$9+1,1))</f>
        <v>326.68822125342342</v>
      </c>
      <c r="T54" s="62">
        <f t="shared" si="34"/>
        <v>332.44447101343894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251.79502399207217</v>
      </c>
      <c r="AO54" s="62">
        <f t="shared" si="36"/>
        <v>353.30085932455904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1.2302763856707328</v>
      </c>
      <c r="AV54" s="23">
        <f>EXP(-LN(2)/25)*AV53+(1-EXP(-LN(2)/25))/(LN(2)/25)*Calculateur!AQ54*Calculateur!AS54*VLOOKUP('Données projet'!$B$10,Paramètres!$A$1:$I$89,3,0)*0.475*44/12</f>
        <v>0.8125595171442811</v>
      </c>
      <c r="AW54" s="23">
        <f>EXP(-LN(2)/2)*AW53+(1-EXP(-LN(2)/2))/(LN(2)/2)*AQ54*AT54*VLOOKUP('Données projet'!$B$10,Paramètres!$A$1:$I$89,3,0)*0.475*44/12</f>
        <v>1.9749597984817808E-3</v>
      </c>
      <c r="AX54" s="23">
        <f t="shared" si="6"/>
        <v>2.0448108626134958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65.562146220138487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1.4255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5.2268333333333334</v>
      </c>
      <c r="H55" s="70">
        <f t="shared" si="1"/>
        <v>222.1695666666667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5.2</v>
      </c>
      <c r="N55" s="14">
        <f>IF('Données projet'!$A$36&gt;35,N54+M55-V54,IF(A55&lt;'Données projet'!$A$36,$K$205^A55,IF(A55='Données projet'!$A$36,'Données projet'!$B$36,N54+M55-V54)))</f>
        <v>156.40000000000003</v>
      </c>
      <c r="O55" s="14">
        <f>N55*VLOOKUP('Données projet'!$B$9,Paramètres!$A$1:$I$89,3,0)*VLOOKUP('Données projet'!$B$9,Paramètres!$A$1:$I$89,5,0)</f>
        <v>163.46928000000005</v>
      </c>
      <c r="P55" s="14">
        <f t="shared" si="33"/>
        <v>41.624041588742685</v>
      </c>
      <c r="Q55" s="22">
        <f t="shared" si="53"/>
        <v>357.20420176706028</v>
      </c>
      <c r="R55" s="62">
        <f t="shared" si="0"/>
        <v>634.54768965982976</v>
      </c>
      <c r="S55" s="62">
        <f ca="1">AVERAGE(OFFSET($R$3,0,0,'Données projet'!$E$9+1,1))-AVERAGE(OFFSET($H$3,0,0,'Données projet'!$E$9+1,1))</f>
        <v>326.68822125342342</v>
      </c>
      <c r="T55" s="62">
        <f t="shared" si="34"/>
        <v>332.44447101343894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251.79502399207217</v>
      </c>
      <c r="AO55" s="62">
        <f t="shared" si="36"/>
        <v>353.30085932455904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1.2061514161422298</v>
      </c>
      <c r="AV55" s="23">
        <f>EXP(-LN(2)/25)*AV54+(1-EXP(-LN(2)/25))/(LN(2)/25)*Calculateur!AQ55*Calculateur!AS55*VLOOKUP('Données projet'!$B$10,Paramètres!$A$1:$I$89,3,0)*0.475*44/12</f>
        <v>0.79034003441732281</v>
      </c>
      <c r="AW55" s="23">
        <f>EXP(-LN(2)/2)*AW54+(1-EXP(-LN(2)/2))/(LN(2)/2)*AQ55*AT55*VLOOKUP('Données projet'!$B$10,Paramètres!$A$1:$I$89,3,0)*0.475*44/12</f>
        <v>1.3965074660772846E-3</v>
      </c>
      <c r="AX55" s="23">
        <f t="shared" si="6"/>
        <v>1.9978879580256299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65.639133061664396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1.4255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5.2268333333333334</v>
      </c>
      <c r="H56" s="70">
        <f t="shared" si="1"/>
        <v>222.1695666666667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5.2</v>
      </c>
      <c r="N56" s="14">
        <f>IF('Données projet'!$A$36&gt;35,N55+M56-V55,IF(A56&lt;'Données projet'!$A$36,$K$205^A56,IF(A56='Données projet'!$A$36,'Données projet'!$B$36,N55+M56-V55)))</f>
        <v>161.60000000000002</v>
      </c>
      <c r="O56" s="14">
        <f>N56*VLOOKUP('Données projet'!$B$9,Paramètres!$A$1:$I$89,3,0)*VLOOKUP('Données projet'!$B$9,Paramètres!$A$1:$I$89,5,0)</f>
        <v>168.90432000000004</v>
      </c>
      <c r="P56" s="14">
        <f t="shared" si="33"/>
        <v>42.844535442014788</v>
      </c>
      <c r="Q56" s="22">
        <f t="shared" si="53"/>
        <v>368.79592322817575</v>
      </c>
      <c r="R56" s="62">
        <f t="shared" si="0"/>
        <v>646.41679919140006</v>
      </c>
      <c r="S56" s="62">
        <f ca="1">AVERAGE(OFFSET($R$3,0,0,'Données projet'!$E$9+1,1))-AVERAGE(OFFSET($H$3,0,0,'Données projet'!$E$9+1,1))</f>
        <v>326.68822125342342</v>
      </c>
      <c r="T56" s="62">
        <f t="shared" si="34"/>
        <v>332.44447101343894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251.79502399207217</v>
      </c>
      <c r="AO56" s="62">
        <f t="shared" si="36"/>
        <v>353.30085932455904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1.1824995225514021</v>
      </c>
      <c r="AV56" s="23">
        <f>EXP(-LN(2)/25)*AV55+(1-EXP(-LN(2)/25))/(LN(2)/25)*Calculateur!AQ56*Calculateur!AS56*VLOOKUP('Données projet'!$B$10,Paramètres!$A$1:$I$89,3,0)*0.475*44/12</f>
        <v>0.76872814461400507</v>
      </c>
      <c r="AW56" s="23">
        <f>EXP(-LN(2)/2)*AW55+(1-EXP(-LN(2)/2))/(LN(2)/2)*AQ56*AT56*VLOOKUP('Données projet'!$B$10,Paramètres!$A$1:$I$89,3,0)*0.475*44/12</f>
        <v>9.8747989924089039E-4</v>
      </c>
      <c r="AX56" s="23">
        <f t="shared" si="6"/>
        <v>1.952215147064648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65.714784353606618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1.4255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5.2268333333333334</v>
      </c>
      <c r="H57" s="70">
        <f t="shared" si="1"/>
        <v>222.1695666666667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5.2</v>
      </c>
      <c r="N57" s="14">
        <f>IF('Données projet'!$A$36&gt;35,N56+M57-V56,IF(A57&lt;'Données projet'!$A$36,$K$205^A57,IF(A57='Données projet'!$A$36,'Données projet'!$B$36,N56+M57-V56)))</f>
        <v>166.8</v>
      </c>
      <c r="O57" s="14">
        <f>N57*VLOOKUP('Données projet'!$B$9,Paramètres!$A$1:$I$89,3,0)*VLOOKUP('Données projet'!$B$9,Paramètres!$A$1:$I$89,5,0)</f>
        <v>174.33936000000003</v>
      </c>
      <c r="P57" s="14">
        <f t="shared" si="33"/>
        <v>44.060465599663758</v>
      </c>
      <c r="Q57" s="22">
        <f t="shared" si="53"/>
        <v>380.37969625274769</v>
      </c>
      <c r="R57" s="62">
        <f t="shared" si="0"/>
        <v>658.27314822355117</v>
      </c>
      <c r="S57" s="62">
        <f ca="1">AVERAGE(OFFSET($R$3,0,0,'Données projet'!$E$9+1,1))-AVERAGE(OFFSET($H$3,0,0,'Données projet'!$E$9+1,1))</f>
        <v>326.68822125342342</v>
      </c>
      <c r="T57" s="62">
        <f t="shared" si="34"/>
        <v>332.44447101343894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251.79502399207217</v>
      </c>
      <c r="AO57" s="62">
        <f t="shared" si="36"/>
        <v>353.30085932455904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1.15931142816766</v>
      </c>
      <c r="AV57" s="23">
        <f>EXP(-LN(2)/25)*AV56+(1-EXP(-LN(2)/25))/(LN(2)/25)*Calculateur!AQ57*Calculateur!AS57*VLOOKUP('Données projet'!$B$10,Paramètres!$A$1:$I$89,3,0)*0.475*44/12</f>
        <v>0.74770723307387887</v>
      </c>
      <c r="AW57" s="23">
        <f>EXP(-LN(2)/2)*AW56+(1-EXP(-LN(2)/2))/(LN(2)/2)*AQ57*AT57*VLOOKUP('Données projet'!$B$10,Paramètres!$A$1:$I$89,3,0)*0.475*44/12</f>
        <v>6.9825373303864229E-4</v>
      </c>
      <c r="AX57" s="23">
        <f t="shared" si="6"/>
        <v>1.9077169149745774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65.789123264764584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1.4255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5.2268333333333334</v>
      </c>
      <c r="H58" s="70">
        <f t="shared" si="1"/>
        <v>222.1695666666667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172</v>
      </c>
      <c r="L58" s="13">
        <f>VLOOKUP(A58,'Données projet'!$A$35:$I$55,9,0)</f>
        <v>5.2</v>
      </c>
      <c r="M58" s="13">
        <f t="array" ref="M58">INDEX(L:L,MIN(IF(ISNUMBER(L58:L254),ROW(L58:L254),"")))</f>
        <v>5.2</v>
      </c>
      <c r="N58" s="14">
        <f>IF('Données projet'!$A$36&gt;35,N57+M58-V57,IF(A58&lt;'Données projet'!$A$36,$K$205^A58,IF(A58='Données projet'!$A$36,'Données projet'!$B$36,N57+M58-V57)))</f>
        <v>172</v>
      </c>
      <c r="O58" s="14">
        <f>N58*VLOOKUP('Données projet'!$B$9,Paramètres!$A$1:$I$89,3,0)*VLOOKUP('Données projet'!$B$9,Paramètres!$A$1:$I$89,5,0)</f>
        <v>179.77440000000001</v>
      </c>
      <c r="P58" s="14">
        <f t="shared" si="33"/>
        <v>45.271990660094822</v>
      </c>
      <c r="Q58" s="22">
        <f t="shared" si="53"/>
        <v>391.9557970663318</v>
      </c>
      <c r="R58" s="62">
        <f t="shared" si="0"/>
        <v>670.11709646037161</v>
      </c>
      <c r="S58" s="62">
        <f ca="1">AVERAGE(OFFSET($R$3,0,0,'Données projet'!$E$9+1,1))-AVERAGE(OFFSET($H$3,0,0,'Données projet'!$E$9+1,1))</f>
        <v>326.68822125342342</v>
      </c>
      <c r="T58" s="62">
        <f t="shared" si="34"/>
        <v>332.44447101343894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18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251.79502399207217</v>
      </c>
      <c r="AO58" s="62">
        <f t="shared" si="36"/>
        <v>353.30085932455904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1.1365780381714421</v>
      </c>
      <c r="AV58" s="23">
        <f>EXP(-LN(2)/25)*AV57+(1-EXP(-LN(2)/25))/(LN(2)/25)*Calculateur!AQ58*Calculateur!AS58*VLOOKUP('Données projet'!$B$10,Paramètres!$A$1:$I$89,3,0)*0.475*44/12</f>
        <v>0.72726113946525917</v>
      </c>
      <c r="AW58" s="23">
        <f>EXP(-LN(2)/2)*AW57+(1-EXP(-LN(2)/2))/(LN(2)/2)*AQ58*AT58*VLOOKUP('Données projet'!$B$10,Paramètres!$A$1:$I$89,3,0)*0.475*44/12</f>
        <v>4.937399496204452E-4</v>
      </c>
      <c r="AX58" s="23">
        <f t="shared" si="6"/>
        <v>1.8643329175863219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65.862172562010883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1.4255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5.2268333333333334</v>
      </c>
      <c r="H59" s="70">
        <f t="shared" si="1"/>
        <v>222.1695666666667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4.4000000000000004</v>
      </c>
      <c r="N59" s="14">
        <f>IF('Données projet'!$A$36&gt;35,N58+M59-V58,IF(A59&lt;'Données projet'!$A$36,$K$205^A59,IF(A59='Données projet'!$A$36,'Données projet'!$B$36,N58+M59-V58)))</f>
        <v>158.4</v>
      </c>
      <c r="O59" s="14">
        <f>N59*VLOOKUP('Données projet'!$B$9,Paramètres!$A$1:$I$89,3,0)*VLOOKUP('Données projet'!$B$9,Paramètres!$A$1:$I$89,5,0)</f>
        <v>165.55968000000001</v>
      </c>
      <c r="P59" s="14">
        <f t="shared" si="33"/>
        <v>42.094012943270059</v>
      </c>
      <c r="Q59" s="22">
        <f t="shared" si="53"/>
        <v>361.66351520952873</v>
      </c>
      <c r="R59" s="62">
        <f t="shared" si="0"/>
        <v>640.08801547282906</v>
      </c>
      <c r="S59" s="62">
        <f ca="1">AVERAGE(OFFSET($R$3,0,0,'Données projet'!$E$9+1,1))-AVERAGE(OFFSET($H$3,0,0,'Données projet'!$E$9+1,1))</f>
        <v>326.68822125342342</v>
      </c>
      <c r="T59" s="62">
        <f t="shared" si="34"/>
        <v>332.44447101343894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251.79502399207217</v>
      </c>
      <c r="AO59" s="62">
        <f t="shared" si="36"/>
        <v>353.30085932455904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1.1142904360870511</v>
      </c>
      <c r="AV59" s="23">
        <f>EXP(-LN(2)/25)*AV58+(1-EXP(-LN(2)/25))/(LN(2)/25)*Calculateur!AQ59*Calculateur!AS59*VLOOKUP('Données projet'!$B$10,Paramètres!$A$1:$I$89,3,0)*0.475*44/12</f>
        <v>0.7073741453615805</v>
      </c>
      <c r="AW59" s="23">
        <f>EXP(-LN(2)/2)*AW58+(1-EXP(-LN(2)/2))/(LN(2)/2)*AQ59*AT59*VLOOKUP('Données projet'!$B$10,Paramètres!$A$1:$I$89,3,0)*0.475*44/12</f>
        <v>3.4912686651932114E-4</v>
      </c>
      <c r="AX59" s="23">
        <f t="shared" si="6"/>
        <v>1.8220137083151509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65.933954617263709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1.4255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5.2268333333333334</v>
      </c>
      <c r="H60" s="70">
        <f t="shared" si="1"/>
        <v>222.1695666666667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4.4000000000000004</v>
      </c>
      <c r="N60" s="14">
        <f>IF('Données projet'!$A$36&gt;35,N59+M60-V59,IF(A60&lt;'Données projet'!$A$36,$K$205^A60,IF(A60='Données projet'!$A$36,'Données projet'!$B$36,N59+M60-V59)))</f>
        <v>162.80000000000001</v>
      </c>
      <c r="O60" s="14">
        <f>N60*VLOOKUP('Données projet'!$B$9,Paramètres!$A$1:$I$89,3,0)*VLOOKUP('Données projet'!$B$9,Paramètres!$A$1:$I$89,5,0)</f>
        <v>170.15856000000002</v>
      </c>
      <c r="P60" s="14">
        <f t="shared" si="33"/>
        <v>43.125533823655893</v>
      </c>
      <c r="Q60" s="22">
        <f t="shared" si="53"/>
        <v>371.46979674286735</v>
      </c>
      <c r="R60" s="62">
        <f t="shared" si="0"/>
        <v>650.15293192877527</v>
      </c>
      <c r="S60" s="62">
        <f ca="1">AVERAGE(OFFSET($R$3,0,0,'Données projet'!$E$9+1,1))-AVERAGE(OFFSET($H$3,0,0,'Données projet'!$E$9+1,1))</f>
        <v>326.68822125342342</v>
      </c>
      <c r="T60" s="62">
        <f t="shared" si="34"/>
        <v>332.44447101343894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251.79502399207217</v>
      </c>
      <c r="AO60" s="62">
        <f t="shared" si="36"/>
        <v>353.30085932455904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1.0924398802854403</v>
      </c>
      <c r="AV60" s="23">
        <f>EXP(-LN(2)/25)*AV59+(1-EXP(-LN(2)/25))/(LN(2)/25)*Calculateur!AQ60*Calculateur!AS60*VLOOKUP('Données projet'!$B$10,Paramètres!$A$1:$I$89,3,0)*0.475*44/12</f>
        <v>0.6880309621574785</v>
      </c>
      <c r="AW60" s="23">
        <f>EXP(-LN(2)/2)*AW59+(1-EXP(-LN(2)/2))/(LN(2)/2)*AQ60*AT60*VLOOKUP('Données projet'!$B$10,Paramètres!$A$1:$I$89,3,0)*0.475*44/12</f>
        <v>2.468699748102226E-4</v>
      </c>
      <c r="AX60" s="23">
        <f t="shared" si="6"/>
        <v>1.7807177124177289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66.004491414338531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1.4255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5.2268333333333334</v>
      </c>
      <c r="H61" s="70">
        <f t="shared" si="1"/>
        <v>222.1695666666667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4.4000000000000004</v>
      </c>
      <c r="N61" s="14">
        <f>IF('Données projet'!$A$36&gt;35,N60+M61-V60,IF(A61&lt;'Données projet'!$A$36,$K$205^A61,IF(A61='Données projet'!$A$36,'Données projet'!$B$36,N60+M61-V60)))</f>
        <v>167.20000000000002</v>
      </c>
      <c r="O61" s="14">
        <f>N61*VLOOKUP('Données projet'!$B$9,Paramètres!$A$1:$I$89,3,0)*VLOOKUP('Données projet'!$B$9,Paramètres!$A$1:$I$89,5,0)</f>
        <v>174.75744000000003</v>
      </c>
      <c r="P61" s="14">
        <f t="shared" si="33"/>
        <v>44.153814277352069</v>
      </c>
      <c r="Q61" s="22">
        <f t="shared" si="53"/>
        <v>381.27043453305487</v>
      </c>
      <c r="R61" s="62">
        <f t="shared" si="0"/>
        <v>660.20771790388426</v>
      </c>
      <c r="S61" s="62">
        <f ca="1">AVERAGE(OFFSET($R$3,0,0,'Données projet'!$E$9+1,1))-AVERAGE(OFFSET($H$3,0,0,'Données projet'!$E$9+1,1))</f>
        <v>326.68822125342342</v>
      </c>
      <c r="T61" s="62">
        <f t="shared" si="34"/>
        <v>332.44447101343894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251.79502399207217</v>
      </c>
      <c r="AO61" s="62">
        <f t="shared" si="36"/>
        <v>353.30085932455904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1.0710178005555759</v>
      </c>
      <c r="AV61" s="23">
        <f>EXP(-LN(2)/25)*AV60+(1-EXP(-LN(2)/25))/(LN(2)/25)*Calculateur!AQ61*Calculateur!AS61*VLOOKUP('Données projet'!$B$10,Paramètres!$A$1:$I$89,3,0)*0.475*44/12</f>
        <v>0.66921671931530646</v>
      </c>
      <c r="AW61" s="23">
        <f>EXP(-LN(2)/2)*AW60+(1-EXP(-LN(2)/2))/(LN(2)/2)*AQ61*AT61*VLOOKUP('Données projet'!$B$10,Paramètres!$A$1:$I$89,3,0)*0.475*44/12</f>
        <v>1.7456343325966057E-4</v>
      </c>
      <c r="AX61" s="23">
        <f t="shared" si="6"/>
        <v>1.7404090833041421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66.073804555680766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1.4255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5.2268333333333334</v>
      </c>
      <c r="H62" s="70">
        <f t="shared" si="1"/>
        <v>222.1695666666667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4.4000000000000004</v>
      </c>
      <c r="N62" s="14">
        <f>IF('Données projet'!$A$36&gt;35,N61+M62-V61,IF(A62&lt;'Données projet'!$A$36,$K$205^A62,IF(A62='Données projet'!$A$36,'Données projet'!$B$36,N61+M62-V61)))</f>
        <v>171.60000000000002</v>
      </c>
      <c r="O62" s="14">
        <f>N62*VLOOKUP('Données projet'!$B$9,Paramètres!$A$1:$I$89,3,0)*VLOOKUP('Données projet'!$B$9,Paramètres!$A$1:$I$89,5,0)</f>
        <v>179.35632000000004</v>
      </c>
      <c r="P62" s="14">
        <f t="shared" si="33"/>
        <v>45.178949381239804</v>
      </c>
      <c r="Q62" s="22">
        <f t="shared" si="53"/>
        <v>391.06559417232603</v>
      </c>
      <c r="R62" s="62">
        <f t="shared" si="0"/>
        <v>670.25261682525888</v>
      </c>
      <c r="S62" s="62">
        <f ca="1">AVERAGE(OFFSET($R$3,0,0,'Données projet'!$E$9+1,1))-AVERAGE(OFFSET($H$3,0,0,'Données projet'!$E$9+1,1))</f>
        <v>326.68822125342342</v>
      </c>
      <c r="T62" s="62">
        <f t="shared" si="34"/>
        <v>332.44447101343894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251.79502399207217</v>
      </c>
      <c r="AO62" s="62">
        <f t="shared" si="36"/>
        <v>353.30085932455904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1.0500157947430357</v>
      </c>
      <c r="AV62" s="23">
        <f>EXP(-LN(2)/25)*AV61+(1-EXP(-LN(2)/25))/(LN(2)/25)*Calculateur!AQ62*Calculateur!AS62*VLOOKUP('Données projet'!$B$10,Paramètres!$A$1:$I$89,3,0)*0.475*44/12</f>
        <v>0.65091695293305163</v>
      </c>
      <c r="AW62" s="23">
        <f>EXP(-LN(2)/2)*AW61+(1-EXP(-LN(2)/2))/(LN(2)/2)*AQ62*AT62*VLOOKUP('Données projet'!$B$10,Paramètres!$A$1:$I$89,3,0)*0.475*44/12</f>
        <v>1.234349874051113E-4</v>
      </c>
      <c r="AX62" s="23">
        <f t="shared" si="6"/>
        <v>1.7010561826634925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66.141915268981677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1.4255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5.2268333333333334</v>
      </c>
      <c r="H63" s="70">
        <f t="shared" si="1"/>
        <v>222.1695666666667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176</v>
      </c>
      <c r="L63" s="13">
        <f>VLOOKUP(A63,'Données projet'!$A$35:$I$55,9,0)</f>
        <v>4.4000000000000004</v>
      </c>
      <c r="M63" s="13">
        <f t="array" ref="M63">INDEX(L:L,MIN(IF(ISNUMBER(L63:L259),ROW(L63:L259),"")))</f>
        <v>4.4000000000000004</v>
      </c>
      <c r="N63" s="14">
        <f>IF('Données projet'!$A$36&gt;35,N62+M63-V62,IF(A63&lt;'Données projet'!$A$36,$K$205^A63,IF(A63='Données projet'!$A$36,'Données projet'!$B$36,N62+M63-V62)))</f>
        <v>176.00000000000003</v>
      </c>
      <c r="O63" s="14">
        <f>N63*VLOOKUP('Données projet'!$B$9,Paramètres!$A$1:$I$89,3,0)*VLOOKUP('Données projet'!$B$9,Paramètres!$A$1:$I$89,5,0)</f>
        <v>183.95520000000005</v>
      </c>
      <c r="P63" s="14">
        <f t="shared" si="33"/>
        <v>46.201029058683268</v>
      </c>
      <c r="Q63" s="22">
        <f t="shared" si="53"/>
        <v>400.85543227720677</v>
      </c>
      <c r="R63" s="62">
        <f t="shared" si="0"/>
        <v>680.28786179403187</v>
      </c>
      <c r="S63" s="62">
        <f ca="1">AVERAGE(OFFSET($R$3,0,0,'Données projet'!$E$9+1,1))-AVERAGE(OFFSET($H$3,0,0,'Données projet'!$E$9+1,1))</f>
        <v>326.68822125342342</v>
      </c>
      <c r="T63" s="62">
        <f t="shared" si="34"/>
        <v>332.44447101343894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16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251.79502399207217</v>
      </c>
      <c r="AO63" s="62">
        <f t="shared" si="36"/>
        <v>353.30085932455904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1.0294256254545209</v>
      </c>
      <c r="AV63" s="23">
        <f>EXP(-LN(2)/25)*AV62+(1-EXP(-LN(2)/25))/(LN(2)/25)*Calculateur!AQ63*Calculateur!AS63*VLOOKUP('Données projet'!$B$10,Paramètres!$A$1:$I$89,3,0)*0.475*44/12</f>
        <v>0.6331175946248625</v>
      </c>
      <c r="AW63" s="23">
        <f>EXP(-LN(2)/2)*AW62+(1-EXP(-LN(2)/2))/(LN(2)/2)*AQ63*AT63*VLOOKUP('Données projet'!$B$10,Paramètres!$A$1:$I$89,3,0)*0.475*44/12</f>
        <v>8.7281716629830286E-5</v>
      </c>
      <c r="AX63" s="23">
        <f t="shared" si="6"/>
        <v>1.6626305017960132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66.208844413679572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1.4255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5.2268333333333334</v>
      </c>
      <c r="H64" s="70">
        <f t="shared" si="1"/>
        <v>222.1695666666667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</v>
      </c>
      <c r="N64" s="14">
        <f>IF('Données projet'!$A$36&gt;35,N63+M64-V63,IF(A64&lt;'Données projet'!$A$36,$K$205^A64,IF(A64='Données projet'!$A$36,'Données projet'!$B$36,N63+M64-V63)))</f>
        <v>164.00000000000003</v>
      </c>
      <c r="O64" s="14">
        <f>N64*VLOOKUP('Données projet'!$B$9,Paramètres!$A$1:$I$89,3,0)*VLOOKUP('Données projet'!$B$9,Paramètres!$A$1:$I$89,5,0)</f>
        <v>171.41280000000003</v>
      </c>
      <c r="P64" s="14">
        <f t="shared" si="33"/>
        <v>43.406291213917044</v>
      </c>
      <c r="Q64" s="22">
        <f t="shared" si="53"/>
        <v>374.14325053090562</v>
      </c>
      <c r="R64" s="62">
        <f t="shared" si="0"/>
        <v>653.81682965118193</v>
      </c>
      <c r="S64" s="62">
        <f ca="1">AVERAGE(OFFSET($R$3,0,0,'Données projet'!$E$9+1,1))-AVERAGE(OFFSET($H$3,0,0,'Données projet'!$E$9+1,1))</f>
        <v>326.68822125342342</v>
      </c>
      <c r="T64" s="62">
        <f t="shared" si="34"/>
        <v>332.44447101343894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251.79502399207217</v>
      </c>
      <c r="AO64" s="62">
        <f t="shared" si="36"/>
        <v>353.30085932455904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1.0092392168269906</v>
      </c>
      <c r="AV64" s="23">
        <f>EXP(-LN(2)/25)*AV63+(1-EXP(-LN(2)/25))/(LN(2)/25)*Calculateur!AQ64*Calculateur!AS64*VLOOKUP('Données projet'!$B$10,Paramètres!$A$1:$I$89,3,0)*0.475*44/12</f>
        <v>0.61580496070563839</v>
      </c>
      <c r="AW64" s="23">
        <f>EXP(-LN(2)/2)*AW63+(1-EXP(-LN(2)/2))/(LN(2)/2)*AQ64*AT64*VLOOKUP('Données projet'!$B$10,Paramètres!$A$1:$I$89,3,0)*0.475*44/12</f>
        <v>6.171749370255565E-5</v>
      </c>
      <c r="AX64" s="23">
        <f t="shared" si="6"/>
        <v>1.6251058950263315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66.274612487348094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1.4255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5.2268333333333334</v>
      </c>
      <c r="H65" s="70">
        <f t="shared" si="1"/>
        <v>222.1695666666667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</v>
      </c>
      <c r="N65" s="14">
        <f>IF('Données projet'!$A$36&gt;35,N64+M65-V64,IF(A65&lt;'Données projet'!$A$36,$K$205^A65,IF(A65='Données projet'!$A$36,'Données projet'!$B$36,N64+M65-V64)))</f>
        <v>168.00000000000003</v>
      </c>
      <c r="O65" s="14">
        <f>N65*VLOOKUP('Données projet'!$B$9,Paramètres!$A$1:$I$89,3,0)*VLOOKUP('Données projet'!$B$9,Paramètres!$A$1:$I$89,5,0)</f>
        <v>175.59360000000007</v>
      </c>
      <c r="P65" s="14">
        <f t="shared" si="33"/>
        <v>44.340433728638573</v>
      </c>
      <c r="Q65" s="22">
        <f t="shared" si="53"/>
        <v>383.05177541071225</v>
      </c>
      <c r="R65" s="62">
        <f t="shared" si="0"/>
        <v>662.96232072794976</v>
      </c>
      <c r="S65" s="62">
        <f ca="1">AVERAGE(OFFSET($R$3,0,0,'Données projet'!$E$9+1,1))-AVERAGE(OFFSET($H$3,0,0,'Données projet'!$E$9+1,1))</f>
        <v>326.68822125342342</v>
      </c>
      <c r="T65" s="62">
        <f t="shared" si="34"/>
        <v>332.44447101343894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251.79502399207217</v>
      </c>
      <c r="AO65" s="62">
        <f t="shared" si="36"/>
        <v>353.30085932455904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0.98944865136015259</v>
      </c>
      <c r="AV65" s="23">
        <f>EXP(-LN(2)/25)*AV64+(1-EXP(-LN(2)/25))/(LN(2)/25)*Calculateur!AQ65*Calculateur!AS65*VLOOKUP('Données projet'!$B$10,Paramètres!$A$1:$I$89,3,0)*0.475*44/12</f>
        <v>0.59896574167136729</v>
      </c>
      <c r="AW65" s="23">
        <f>EXP(-LN(2)/2)*AW64+(1-EXP(-LN(2)/2))/(LN(2)/2)*AQ65*AT65*VLOOKUP('Données projet'!$B$10,Paramètres!$A$1:$I$89,3,0)*0.475*44/12</f>
        <v>4.3640858314915143E-5</v>
      </c>
      <c r="AX65" s="23">
        <f t="shared" si="6"/>
        <v>1.5884580338898349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66.339239631973868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1.4255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5.2268333333333334</v>
      </c>
      <c r="H66" s="70">
        <f t="shared" si="1"/>
        <v>222.1695666666667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</v>
      </c>
      <c r="N66" s="14">
        <f>IF('Données projet'!$A$36&gt;35,N65+M66-V65,IF(A66&lt;'Données projet'!$A$36,$K$205^A66,IF(A66='Données projet'!$A$36,'Données projet'!$B$36,N65+M66-V65)))</f>
        <v>172.00000000000003</v>
      </c>
      <c r="O66" s="14">
        <f>N66*VLOOKUP('Données projet'!$B$9,Paramètres!$A$1:$I$89,3,0)*VLOOKUP('Données projet'!$B$9,Paramètres!$A$1:$I$89,5,0)</f>
        <v>179.77440000000004</v>
      </c>
      <c r="P66" s="14">
        <f t="shared" si="33"/>
        <v>45.271990660094822</v>
      </c>
      <c r="Q66" s="22">
        <f t="shared" si="53"/>
        <v>391.9557970663318</v>
      </c>
      <c r="R66" s="62">
        <f t="shared" si="0"/>
        <v>672.0991977467902</v>
      </c>
      <c r="S66" s="62">
        <f ca="1">AVERAGE(OFFSET($R$3,0,0,'Données projet'!$E$9+1,1))-AVERAGE(OFFSET($H$3,0,0,'Données projet'!$E$9+1,1))</f>
        <v>326.68822125342342</v>
      </c>
      <c r="T66" s="62">
        <f t="shared" si="34"/>
        <v>332.44447101343894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251.79502399207217</v>
      </c>
      <c r="AO66" s="62">
        <f t="shared" si="36"/>
        <v>353.30085932455904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0.97004616681106626</v>
      </c>
      <c r="AV66" s="23">
        <f>EXP(-LN(2)/25)*AV65+(1-EXP(-LN(2)/25))/(LN(2)/25)*Calculateur!AQ66*Calculateur!AS66*VLOOKUP('Données projet'!$B$10,Paramètres!$A$1:$I$89,3,0)*0.475*44/12</f>
        <v>0.58258699196712438</v>
      </c>
      <c r="AW66" s="23">
        <f>EXP(-LN(2)/2)*AW65+(1-EXP(-LN(2)/2))/(LN(2)/2)*AQ66*AT66*VLOOKUP('Données projet'!$B$10,Paramètres!$A$1:$I$89,3,0)*0.475*44/12</f>
        <v>3.0858746851277825E-5</v>
      </c>
      <c r="AX66" s="23">
        <f t="shared" si="6"/>
        <v>1.5526640175250421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66.402745640125019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1.4255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5.2268333333333334</v>
      </c>
      <c r="H67" s="70">
        <f t="shared" si="1"/>
        <v>222.1695666666667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</v>
      </c>
      <c r="N67" s="14">
        <f>IF('Données projet'!$A$36&gt;35,N66+M67-V66,IF(A67&lt;'Données projet'!$A$36,$K$205^A67,IF(A67='Données projet'!$A$36,'Données projet'!$B$36,N66+M67-V66)))</f>
        <v>176.00000000000003</v>
      </c>
      <c r="O67" s="14">
        <f>N67*VLOOKUP('Données projet'!$B$9,Paramètres!$A$1:$I$89,3,0)*VLOOKUP('Données projet'!$B$9,Paramètres!$A$1:$I$89,5,0)</f>
        <v>183.95520000000005</v>
      </c>
      <c r="P67" s="14">
        <f t="shared" si="33"/>
        <v>46.201029058683268</v>
      </c>
      <c r="Q67" s="22">
        <f t="shared" ref="Q67:Q98" si="54">(O67+P67)*0.475*44/12</f>
        <v>400.85543227720677</v>
      </c>
      <c r="R67" s="62">
        <f t="shared" ref="R67:R130" si="55">Q67+(I67+J67)*44/12</f>
        <v>681.22764880092086</v>
      </c>
      <c r="S67" s="62">
        <f ca="1">AVERAGE(OFFSET($R$3,0,0,'Données projet'!$E$9+1,1))-AVERAGE(OFFSET($H$3,0,0,'Données projet'!$E$9+1,1))</f>
        <v>326.68822125342342</v>
      </c>
      <c r="T67" s="62">
        <f t="shared" si="34"/>
        <v>332.44447101343894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251.79502399207217</v>
      </c>
      <c r="AO67" s="62">
        <f t="shared" si="36"/>
        <v>353.30085932455904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0.95102415314964051</v>
      </c>
      <c r="AV67" s="23">
        <f>EXP(-LN(2)/25)*AV66+(1-EXP(-LN(2)/25))/(LN(2)/25)*Calculateur!AQ67*Calculateur!AS67*VLOOKUP('Données projet'!$B$10,Paramètres!$A$1:$I$89,3,0)*0.475*44/12</f>
        <v>0.56665612003486499</v>
      </c>
      <c r="AW67" s="23">
        <f>EXP(-LN(2)/2)*AW66+(1-EXP(-LN(2)/2))/(LN(2)/2)*AQ67*AT67*VLOOKUP('Données projet'!$B$10,Paramètres!$A$1:$I$89,3,0)*0.475*44/12</f>
        <v>2.1820429157457572E-5</v>
      </c>
      <c r="AX67" s="23">
        <f t="shared" si="6"/>
        <v>1.5177020936136632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66.465149961012912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1.4255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5.2268333333333334</v>
      </c>
      <c r="H68" s="70">
        <f t="shared" ref="H68:H131" si="56">(B68+E68+F68)*44/12+(C68+D68)*0.475*44/12</f>
        <v>222.1695666666667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180</v>
      </c>
      <c r="L68" s="13">
        <f>VLOOKUP(A68,'Données projet'!$A$35:$I$55,9,0)</f>
        <v>4</v>
      </c>
      <c r="M68" s="13">
        <f t="array" ref="M68">INDEX(L:L,MIN(IF(ISNUMBER(L68:L264),ROW(L68:L264),"")))</f>
        <v>4</v>
      </c>
      <c r="N68" s="14">
        <f>IF('Données projet'!$A$36&gt;35,N67+M68-V67,IF(A68&lt;'Données projet'!$A$36,$K$205^A68,IF(A68='Données projet'!$A$36,'Données projet'!$B$36,N67+M68-V67)))</f>
        <v>180.00000000000003</v>
      </c>
      <c r="O68" s="14">
        <f>N68*VLOOKUP('Données projet'!$B$9,Paramètres!$A$1:$I$89,3,0)*VLOOKUP('Données projet'!$B$9,Paramètres!$A$1:$I$89,5,0)</f>
        <v>188.13600000000005</v>
      </c>
      <c r="P68" s="14">
        <f t="shared" si="33"/>
        <v>47.127612753105332</v>
      </c>
      <c r="Q68" s="22">
        <f t="shared" si="54"/>
        <v>409.75079221165856</v>
      </c>
      <c r="R68" s="62">
        <f t="shared" si="55"/>
        <v>690.34785513530335</v>
      </c>
      <c r="S68" s="62">
        <f ca="1">AVERAGE(OFFSET($R$3,0,0,'Données projet'!$E$9+1,1))-AVERAGE(OFFSET($H$3,0,0,'Données projet'!$E$9+1,1))</f>
        <v>326.68822125342342</v>
      </c>
      <c r="T68" s="62">
        <f t="shared" si="34"/>
        <v>332.44447101343894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251.79502399207217</v>
      </c>
      <c r="AO68" s="62">
        <f t="shared" si="36"/>
        <v>353.30085932455904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0.93237514957383261</v>
      </c>
      <c r="AV68" s="23">
        <f>EXP(-LN(2)/25)*AV67+(1-EXP(-LN(2)/25))/(LN(2)/25)*Calculateur!AQ68*Calculateur!AS68*VLOOKUP('Données projet'!$B$10,Paramètres!$A$1:$I$89,3,0)*0.475*44/12</f>
        <v>0.55116087863336138</v>
      </c>
      <c r="AW68" s="23">
        <f>EXP(-LN(2)/2)*AW67+(1-EXP(-LN(2)/2))/(LN(2)/2)*AQ68*AT68*VLOOKUP('Données projet'!$B$10,Paramètres!$A$1:$I$89,3,0)*0.475*44/12</f>
        <v>1.5429373425638912E-5</v>
      </c>
      <c r="AX68" s="23">
        <f t="shared" ref="AX68:AX131" si="60">SUM(AU68:AW68)</f>
        <v>1.4835514575806195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66.526471706448575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1.4255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5.2268333333333334</v>
      </c>
      <c r="H69" s="70">
        <f t="shared" si="56"/>
        <v>222.1695666666667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3.4</v>
      </c>
      <c r="N69" s="14">
        <f>IF('Données projet'!$A$36&gt;35,N68+M69-V68,IF(A69&lt;'Données projet'!$A$36,$K$205^A69,IF(A69='Données projet'!$A$36,'Données projet'!$B$36,N68+M69-V68)))</f>
        <v>169.40000000000003</v>
      </c>
      <c r="O69" s="14">
        <f>N69*VLOOKUP('Données projet'!$B$9,Paramètres!$A$1:$I$89,3,0)*VLOOKUP('Données projet'!$B$9,Paramètres!$A$1:$I$89,5,0)</f>
        <v>177.05688000000006</v>
      </c>
      <c r="P69" s="14">
        <f t="shared" ref="P69:P132" si="87">EXP(-1.0587+0.8836*LN(O69)+0.284)</f>
        <v>44.66676926193594</v>
      </c>
      <c r="Q69" s="22">
        <f t="shared" si="54"/>
        <v>386.16868913120521</v>
      </c>
      <c r="R69" s="62">
        <f t="shared" si="55"/>
        <v>666.98669787242318</v>
      </c>
      <c r="S69" s="62">
        <f ca="1">AVERAGE(OFFSET($R$3,0,0,'Données projet'!$E$9+1,1))-AVERAGE(OFFSET($H$3,0,0,'Données projet'!$E$9+1,1))</f>
        <v>326.68822125342342</v>
      </c>
      <c r="T69" s="62">
        <f t="shared" ref="T69:T132" si="88">$T$3</f>
        <v>332.44447101343894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251.79502399207217</v>
      </c>
      <c r="AO69" s="62">
        <f t="shared" ref="AO69:AO132" si="90">$AO$3</f>
        <v>353.30085932455904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0.9140918415833772</v>
      </c>
      <c r="AV69" s="23">
        <f>EXP(-LN(2)/25)*AV68+(1-EXP(-LN(2)/25))/(LN(2)/25)*Calculateur!AQ69*Calculateur!AS69*VLOOKUP('Données projet'!$B$10,Paramètres!$A$1:$I$89,3,0)*0.475*44/12</f>
        <v>0.5360893554228412</v>
      </c>
      <c r="AW69" s="23">
        <f>EXP(-LN(2)/2)*AW68+(1-EXP(-LN(2)/2))/(LN(2)/2)*AQ69*AT69*VLOOKUP('Données projet'!$B$10,Paramètres!$A$1:$I$89,3,0)*0.475*44/12</f>
        <v>1.0910214578728786E-5</v>
      </c>
      <c r="AX69" s="23">
        <f t="shared" si="60"/>
        <v>1.4501921072207971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66.586729656695809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1.4255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5.2268333333333334</v>
      </c>
      <c r="H70" s="70">
        <f t="shared" si="56"/>
        <v>222.1695666666667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3.4</v>
      </c>
      <c r="N70" s="14">
        <f>IF('Données projet'!$A$36&gt;35,N69+M70-V69,IF(A70&lt;'Données projet'!$A$36,$K$205^A70,IF(A70='Données projet'!$A$36,'Données projet'!$B$36,N69+M70-V69)))</f>
        <v>172.80000000000004</v>
      </c>
      <c r="O70" s="14">
        <f>N70*VLOOKUP('Données projet'!$B$9,Paramètres!$A$1:$I$89,3,0)*VLOOKUP('Données projet'!$B$9,Paramètres!$A$1:$I$89,5,0)</f>
        <v>180.61056000000008</v>
      </c>
      <c r="P70" s="14">
        <f t="shared" si="87"/>
        <v>45.457997735006053</v>
      </c>
      <c r="Q70" s="22">
        <f t="shared" si="54"/>
        <v>393.73607138846893</v>
      </c>
      <c r="R70" s="62">
        <f t="shared" si="55"/>
        <v>674.77119303128597</v>
      </c>
      <c r="S70" s="62">
        <f ca="1">AVERAGE(OFFSET($R$3,0,0,'Données projet'!$E$9+1,1))-AVERAGE(OFFSET($H$3,0,0,'Données projet'!$E$9+1,1))</f>
        <v>326.68822125342342</v>
      </c>
      <c r="T70" s="62">
        <f t="shared" si="88"/>
        <v>332.44447101343894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251.79502399207217</v>
      </c>
      <c r="AO70" s="62">
        <f t="shared" si="90"/>
        <v>353.30085932455904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0.89616705811089792</v>
      </c>
      <c r="AV70" s="23">
        <f>EXP(-LN(2)/25)*AV69+(1-EXP(-LN(2)/25))/(LN(2)/25)*Calculateur!AQ70*Calculateur!AS70*VLOOKUP('Données projet'!$B$10,Paramètres!$A$1:$I$89,3,0)*0.475*44/12</f>
        <v>0.52142996380708961</v>
      </c>
      <c r="AW70" s="23">
        <f>EXP(-LN(2)/2)*AW69+(1-EXP(-LN(2)/2))/(LN(2)/2)*AQ70*AT70*VLOOKUP('Données projet'!$B$10,Paramètres!$A$1:$I$89,3,0)*0.475*44/12</f>
        <v>7.7146867128194562E-6</v>
      </c>
      <c r="AX70" s="23">
        <f t="shared" si="60"/>
        <v>1.4176047366047004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66.645942266222832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1.4255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5.2268333333333334</v>
      </c>
      <c r="H71" s="70">
        <f t="shared" si="56"/>
        <v>222.1695666666667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3.4</v>
      </c>
      <c r="N71" s="14">
        <f>IF('Données projet'!$A$36&gt;35,N70+M71-V70,IF(A71&lt;'Données projet'!$A$36,$K$205^A71,IF(A71='Données projet'!$A$36,'Données projet'!$B$36,N70+M71-V70)))</f>
        <v>176.20000000000005</v>
      </c>
      <c r="O71" s="14">
        <f>N71*VLOOKUP('Données projet'!$B$9,Paramètres!$A$1:$I$89,3,0)*VLOOKUP('Données projet'!$B$9,Paramètres!$A$1:$I$89,5,0)</f>
        <v>184.16424000000006</v>
      </c>
      <c r="P71" s="14">
        <f t="shared" si="87"/>
        <v>46.247416025180279</v>
      </c>
      <c r="Q71" s="22">
        <f t="shared" si="54"/>
        <v>401.30030091052248</v>
      </c>
      <c r="R71" s="62">
        <f t="shared" si="55"/>
        <v>682.54876903148761</v>
      </c>
      <c r="S71" s="62">
        <f ca="1">AVERAGE(OFFSET($R$3,0,0,'Données projet'!$E$9+1,1))-AVERAGE(OFFSET($H$3,0,0,'Données projet'!$E$9+1,1))</f>
        <v>326.68822125342342</v>
      </c>
      <c r="T71" s="62">
        <f t="shared" si="88"/>
        <v>332.44447101343894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251.79502399207217</v>
      </c>
      <c r="AO71" s="62">
        <f t="shared" si="90"/>
        <v>353.30085932455904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0.87859376870927564</v>
      </c>
      <c r="AV71" s="23">
        <f>EXP(-LN(2)/25)*AV70+(1-EXP(-LN(2)/25))/(LN(2)/25)*Calculateur!AQ71*Calculateur!AS71*VLOOKUP('Données projet'!$B$10,Paramètres!$A$1:$I$89,3,0)*0.475*44/12</f>
        <v>0.50717143402597464</v>
      </c>
      <c r="AW71" s="23">
        <f>EXP(-LN(2)/2)*AW70+(1-EXP(-LN(2)/2))/(LN(2)/2)*AQ71*AT71*VLOOKUP('Données projet'!$B$10,Paramètres!$A$1:$I$89,3,0)*0.475*44/12</f>
        <v>5.4551072893643929E-6</v>
      </c>
      <c r="AX71" s="23">
        <f t="shared" si="60"/>
        <v>1.3857706578425397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66.704127669354136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1.4255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5.2268333333333334</v>
      </c>
      <c r="H72" s="70">
        <f t="shared" si="56"/>
        <v>222.1695666666667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3.4</v>
      </c>
      <c r="N72" s="14">
        <f>IF('Données projet'!$A$36&gt;35,N71+M72-V71,IF(A72&lt;'Données projet'!$A$36,$K$205^A72,IF(A72='Données projet'!$A$36,'Données projet'!$B$36,N71+M72-V71)))</f>
        <v>179.60000000000005</v>
      </c>
      <c r="O72" s="14">
        <f>N72*VLOOKUP('Données projet'!$B$9,Paramètres!$A$1:$I$89,3,0)*VLOOKUP('Données projet'!$B$9,Paramètres!$A$1:$I$89,5,0)</f>
        <v>187.71792000000005</v>
      </c>
      <c r="P72" s="14">
        <f t="shared" si="87"/>
        <v>47.035063089147563</v>
      </c>
      <c r="Q72" s="22">
        <f t="shared" si="54"/>
        <v>408.86144554693209</v>
      </c>
      <c r="R72" s="62">
        <f t="shared" si="55"/>
        <v>690.31955906162079</v>
      </c>
      <c r="S72" s="62">
        <f ca="1">AVERAGE(OFFSET($R$3,0,0,'Données projet'!$E$9+1,1))-AVERAGE(OFFSET($H$3,0,0,'Données projet'!$E$9+1,1))</f>
        <v>326.68822125342342</v>
      </c>
      <c r="T72" s="62">
        <f t="shared" si="88"/>
        <v>332.44447101343894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251.79502399207217</v>
      </c>
      <c r="AO72" s="62">
        <f t="shared" si="90"/>
        <v>353.30085932455904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0.86136508079417096</v>
      </c>
      <c r="AV72" s="23">
        <f>EXP(-LN(2)/25)*AV71+(1-EXP(-LN(2)/25))/(LN(2)/25)*Calculateur!AQ72*Calculateur!AS72*VLOOKUP('Données projet'!$B$10,Paramètres!$A$1:$I$89,3,0)*0.475*44/12</f>
        <v>0.49330280449154779</v>
      </c>
      <c r="AW72" s="23">
        <f>EXP(-LN(2)/2)*AW71+(1-EXP(-LN(2)/2))/(LN(2)/2)*AQ72*AT72*VLOOKUP('Données projet'!$B$10,Paramètres!$A$1:$I$89,3,0)*0.475*44/12</f>
        <v>3.8573433564097281E-6</v>
      </c>
      <c r="AX72" s="23">
        <f t="shared" si="60"/>
        <v>1.3546717426290753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66.761303685824188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1.4255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5.2268333333333334</v>
      </c>
      <c r="H73" s="70">
        <f t="shared" si="56"/>
        <v>222.1695666666667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183</v>
      </c>
      <c r="L73" s="13">
        <f>VLOOKUP(A73,'Données projet'!$A$35:$I$55,9,0)</f>
        <v>3.4</v>
      </c>
      <c r="M73" s="13">
        <f t="array" ref="M73">INDEX(L:L,MIN(IF(ISNUMBER(L73:L269),ROW(L73:L269),"")))</f>
        <v>3.4</v>
      </c>
      <c r="N73" s="14">
        <f>IF('Données projet'!$A$36&gt;35,N72+M73-V72,IF(A73&lt;'Données projet'!$A$36,$K$205^A73,IF(A73='Données projet'!$A$36,'Données projet'!$B$36,N72+M73-V72)))</f>
        <v>183.00000000000006</v>
      </c>
      <c r="O73" s="14">
        <f>N73*VLOOKUP('Données projet'!$B$9,Paramètres!$A$1:$I$89,3,0)*VLOOKUP('Données projet'!$B$9,Paramètres!$A$1:$I$89,5,0)</f>
        <v>191.27160000000006</v>
      </c>
      <c r="P73" s="14">
        <f t="shared" si="87"/>
        <v>47.820976324217895</v>
      </c>
      <c r="Q73" s="22">
        <f t="shared" si="54"/>
        <v>416.41957043134624</v>
      </c>
      <c r="R73" s="62">
        <f t="shared" si="55"/>
        <v>698.08369246087432</v>
      </c>
      <c r="S73" s="62">
        <f ca="1">AVERAGE(OFFSET($R$3,0,0,'Données projet'!$E$9+1,1))-AVERAGE(OFFSET($H$3,0,0,'Données projet'!$E$9+1,1))</f>
        <v>326.68822125342342</v>
      </c>
      <c r="T73" s="62">
        <f t="shared" si="88"/>
        <v>332.44447101343894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12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251.79502399207217</v>
      </c>
      <c r="AO73" s="62">
        <f t="shared" si="90"/>
        <v>353.30085932455904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0.84447423694061952</v>
      </c>
      <c r="AV73" s="23">
        <f>EXP(-LN(2)/25)*AV72+(1-EXP(-LN(2)/25))/(LN(2)/25)*Calculateur!AQ73*Calculateur!AS73*VLOOKUP('Données projet'!$B$10,Paramètres!$A$1:$I$89,3,0)*0.475*44/12</f>
        <v>0.47981341336105937</v>
      </c>
      <c r="AW73" s="23">
        <f>EXP(-LN(2)/2)*AW72+(1-EXP(-LN(2)/2))/(LN(2)/2)*AQ73*AT73*VLOOKUP('Données projet'!$B$10,Paramètres!$A$1:$I$89,3,0)*0.475*44/12</f>
        <v>2.7275536446821964E-6</v>
      </c>
      <c r="AX73" s="23">
        <f t="shared" si="60"/>
        <v>1.3242903778553237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66.81748782623491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1.4255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5.2268333333333334</v>
      </c>
      <c r="H74" s="70">
        <f t="shared" si="56"/>
        <v>222.1695666666667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</v>
      </c>
      <c r="N74" s="14">
        <f>IF('Données projet'!$A$36&gt;35,N73+M74-V73,IF(A74&lt;'Données projet'!$A$36,$K$205^A74,IF(A74='Données projet'!$A$36,'Données projet'!$B$36,N73+M74-V73)))</f>
        <v>174.00000000000006</v>
      </c>
      <c r="O74" s="14">
        <f>N74*VLOOKUP('Données projet'!$B$9,Paramètres!$A$1:$I$89,3,0)*VLOOKUP('Données projet'!$B$9,Paramètres!$A$1:$I$89,5,0)</f>
        <v>181.86480000000006</v>
      </c>
      <c r="P74" s="14">
        <f t="shared" si="87"/>
        <v>45.73682061391029</v>
      </c>
      <c r="Q74" s="22">
        <f t="shared" si="54"/>
        <v>396.40615590256056</v>
      </c>
      <c r="R74" s="62">
        <f t="shared" si="55"/>
        <v>678.27271265976151</v>
      </c>
      <c r="S74" s="62">
        <f ca="1">AVERAGE(OFFSET($R$3,0,0,'Données projet'!$E$9+1,1))-AVERAGE(OFFSET($H$3,0,0,'Données projet'!$E$9+1,1))</f>
        <v>326.68822125342342</v>
      </c>
      <c r="T74" s="62">
        <f t="shared" si="88"/>
        <v>332.44447101343894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251.79502399207217</v>
      </c>
      <c r="AO74" s="62">
        <f t="shared" si="90"/>
        <v>353.30085932455904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0.82791461223263874</v>
      </c>
      <c r="AV74" s="23">
        <f>EXP(-LN(2)/25)*AV73+(1-EXP(-LN(2)/25))/(LN(2)/25)*Calculateur!AQ74*Calculateur!AS74*VLOOKUP('Données projet'!$B$10,Paramètres!$A$1:$I$89,3,0)*0.475*44/12</f>
        <v>0.46669289034041045</v>
      </c>
      <c r="AW74" s="23">
        <f>EXP(-LN(2)/2)*AW73+(1-EXP(-LN(2)/2))/(LN(2)/2)*AQ74*AT74*VLOOKUP('Données projet'!$B$10,Paramètres!$A$1:$I$89,3,0)*0.475*44/12</f>
        <v>1.928671678204864E-6</v>
      </c>
      <c r="AX74" s="23">
        <f t="shared" si="60"/>
        <v>1.2946094312447274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66.872697297418426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1.4255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5.2268333333333334</v>
      </c>
      <c r="H75" s="70">
        <f t="shared" si="56"/>
        <v>222.1695666666667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</v>
      </c>
      <c r="N75" s="14">
        <f>IF('Données projet'!$A$36&gt;35,N74+M75-V74,IF(A75&lt;'Données projet'!$A$36,$K$205^A75,IF(A75='Données projet'!$A$36,'Données projet'!$B$36,N74+M75-V74)))</f>
        <v>177.00000000000006</v>
      </c>
      <c r="O75" s="14">
        <f>N75*VLOOKUP('Données projet'!$B$9,Paramètres!$A$1:$I$89,3,0)*VLOOKUP('Données projet'!$B$9,Paramètres!$A$1:$I$89,5,0)</f>
        <v>185.00040000000007</v>
      </c>
      <c r="P75" s="14">
        <f t="shared" si="87"/>
        <v>46.43290268501466</v>
      </c>
      <c r="Q75" s="22">
        <f t="shared" si="54"/>
        <v>403.07966884306734</v>
      </c>
      <c r="R75" s="62">
        <f t="shared" si="55"/>
        <v>685.14514853799221</v>
      </c>
      <c r="S75" s="62">
        <f ca="1">AVERAGE(OFFSET($R$3,0,0,'Données projet'!$E$9+1,1))-AVERAGE(OFFSET($H$3,0,0,'Données projet'!$E$9+1,1))</f>
        <v>326.68822125342342</v>
      </c>
      <c r="T75" s="62">
        <f t="shared" si="88"/>
        <v>332.44447101343894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251.79502399207217</v>
      </c>
      <c r="AO75" s="62">
        <f t="shared" si="90"/>
        <v>353.30085932455904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0.81167971166480768</v>
      </c>
      <c r="AV75" s="23">
        <f>EXP(-LN(2)/25)*AV74+(1-EXP(-LN(2)/25))/(LN(2)/25)*Calculateur!AQ75*Calculateur!AS75*VLOOKUP('Données projet'!$B$10,Paramètres!$A$1:$I$89,3,0)*0.475*44/12</f>
        <v>0.45393114871173945</v>
      </c>
      <c r="AW75" s="23">
        <f>EXP(-LN(2)/2)*AW74+(1-EXP(-LN(2)/2))/(LN(2)/2)*AQ75*AT75*VLOOKUP('Données projet'!$B$10,Paramètres!$A$1:$I$89,3,0)*0.475*44/12</f>
        <v>1.3637768223410982E-6</v>
      </c>
      <c r="AX75" s="23">
        <f t="shared" si="60"/>
        <v>1.2656122241533694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66.926949007706781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1.4255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5.2268333333333334</v>
      </c>
      <c r="H76" s="70">
        <f t="shared" si="56"/>
        <v>222.1695666666667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</v>
      </c>
      <c r="N76" s="14">
        <f>IF('Données projet'!$A$36&gt;35,N75+M76-V75,IF(A76&lt;'Données projet'!$A$36,$K$205^A76,IF(A76='Données projet'!$A$36,'Données projet'!$B$36,N75+M76-V75)))</f>
        <v>180.00000000000006</v>
      </c>
      <c r="O76" s="14">
        <f>N76*VLOOKUP('Données projet'!$B$9,Paramètres!$A$1:$I$89,3,0)*VLOOKUP('Données projet'!$B$9,Paramètres!$A$1:$I$89,5,0)</f>
        <v>188.13600000000008</v>
      </c>
      <c r="P76" s="14">
        <f t="shared" si="87"/>
        <v>47.127612753105332</v>
      </c>
      <c r="Q76" s="22">
        <f t="shared" si="54"/>
        <v>409.75079221165856</v>
      </c>
      <c r="R76" s="62">
        <f t="shared" si="55"/>
        <v>692.01174397606292</v>
      </c>
      <c r="S76" s="62">
        <f ca="1">AVERAGE(OFFSET($R$3,0,0,'Données projet'!$E$9+1,1))-AVERAGE(OFFSET($H$3,0,0,'Données projet'!$E$9+1,1))</f>
        <v>326.68822125342342</v>
      </c>
      <c r="T76" s="62">
        <f t="shared" si="88"/>
        <v>332.44447101343894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251.79502399207217</v>
      </c>
      <c r="AO76" s="62">
        <f t="shared" si="90"/>
        <v>353.30085932455904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0.79576316759480026</v>
      </c>
      <c r="AV76" s="23">
        <f>EXP(-LN(2)/25)*AV75+(1-EXP(-LN(2)/25))/(LN(2)/25)*Calculateur!AQ76*Calculateur!AS76*VLOOKUP('Données projet'!$B$10,Paramètres!$A$1:$I$89,3,0)*0.475*44/12</f>
        <v>0.4415183775790153</v>
      </c>
      <c r="AW76" s="23">
        <f>EXP(-LN(2)/2)*AW75+(1-EXP(-LN(2)/2))/(LN(2)/2)*AQ76*AT76*VLOOKUP('Données projet'!$B$10,Paramètres!$A$1:$I$89,3,0)*0.475*44/12</f>
        <v>9.6433583910243202E-7</v>
      </c>
      <c r="AX76" s="23">
        <f t="shared" si="60"/>
        <v>1.2372825095096547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66.980259572110299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1.4255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5.2268333333333334</v>
      </c>
      <c r="H77" s="70">
        <f t="shared" si="56"/>
        <v>222.1695666666667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</v>
      </c>
      <c r="N77" s="14">
        <f>IF('Données projet'!$A$36&gt;35,N76+M77-V76,IF(A77&lt;'Données projet'!$A$36,$K$205^A77,IF(A77='Données projet'!$A$36,'Données projet'!$B$36,N76+M77-V76)))</f>
        <v>183.00000000000006</v>
      </c>
      <c r="O77" s="14">
        <f>N77*VLOOKUP('Données projet'!$B$9,Paramètres!$A$1:$I$89,3,0)*VLOOKUP('Données projet'!$B$9,Paramètres!$A$1:$I$89,5,0)</f>
        <v>191.27160000000006</v>
      </c>
      <c r="P77" s="14">
        <f t="shared" si="87"/>
        <v>47.820976324217895</v>
      </c>
      <c r="Q77" s="22">
        <f t="shared" si="54"/>
        <v>416.41957043134624</v>
      </c>
      <c r="R77" s="62">
        <f t="shared" si="55"/>
        <v>698.87260326183491</v>
      </c>
      <c r="S77" s="62">
        <f ca="1">AVERAGE(OFFSET($R$3,0,0,'Données projet'!$E$9+1,1))-AVERAGE(OFFSET($H$3,0,0,'Données projet'!$E$9+1,1))</f>
        <v>326.68822125342342</v>
      </c>
      <c r="T77" s="62">
        <f t="shared" si="88"/>
        <v>332.44447101343894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251.79502399207217</v>
      </c>
      <c r="AO77" s="62">
        <f t="shared" si="90"/>
        <v>353.30085932455904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0.78015873724587237</v>
      </c>
      <c r="AV77" s="23">
        <f>EXP(-LN(2)/25)*AV76+(1-EXP(-LN(2)/25))/(LN(2)/25)*Calculateur!AQ77*Calculateur!AS77*VLOOKUP('Données projet'!$B$10,Paramètres!$A$1:$I$89,3,0)*0.475*44/12</f>
        <v>0.42944503432567477</v>
      </c>
      <c r="AW77" s="23">
        <f>EXP(-LN(2)/2)*AW76+(1-EXP(-LN(2)/2))/(LN(2)/2)*AQ77*AT77*VLOOKUP('Données projet'!$B$10,Paramètres!$A$1:$I$89,3,0)*0.475*44/12</f>
        <v>6.8188841117054911E-7</v>
      </c>
      <c r="AX77" s="23">
        <f t="shared" si="60"/>
        <v>1.2096044534599582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67.032645317405979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1.4255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5.2268333333333334</v>
      </c>
      <c r="H78" s="70">
        <f t="shared" si="56"/>
        <v>222.1695666666667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186</v>
      </c>
      <c r="L78" s="13">
        <f>VLOOKUP(A78,'Données projet'!$A$35:$I$55,9,0)</f>
        <v>3</v>
      </c>
      <c r="M78" s="13">
        <f t="array" ref="M78">INDEX(L:L,MIN(IF(ISNUMBER(L78:L274),ROW(L78:L274),"")))</f>
        <v>3</v>
      </c>
      <c r="N78" s="14">
        <f>IF('Données projet'!$A$36&gt;35,N77+M78-V77,IF(A78&lt;'Données projet'!$A$36,$K$205^A78,IF(A78='Données projet'!$A$36,'Données projet'!$B$36,N77+M78-V77)))</f>
        <v>186.00000000000006</v>
      </c>
      <c r="O78" s="14">
        <f>N78*VLOOKUP('Données projet'!$B$9,Paramètres!$A$1:$I$89,3,0)*VLOOKUP('Données projet'!$B$9,Paramètres!$A$1:$I$89,5,0)</f>
        <v>194.40720000000007</v>
      </c>
      <c r="P78" s="14">
        <f t="shared" si="87"/>
        <v>48.513018020179601</v>
      </c>
      <c r="Q78" s="22">
        <f t="shared" si="54"/>
        <v>423.08604638514629</v>
      </c>
      <c r="R78" s="62">
        <f t="shared" si="55"/>
        <v>705.72782810465151</v>
      </c>
      <c r="S78" s="62">
        <f ca="1">AVERAGE(OFFSET($R$3,0,0,'Données projet'!$E$9+1,1))-AVERAGE(OFFSET($H$3,0,0,'Données projet'!$E$9+1,1))</f>
        <v>326.68822125342342</v>
      </c>
      <c r="T78" s="62">
        <f t="shared" si="88"/>
        <v>332.44447101343894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11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251.79502399207217</v>
      </c>
      <c r="AO78" s="62">
        <f t="shared" si="90"/>
        <v>353.30085932455904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0.7648603002583243</v>
      </c>
      <c r="AV78" s="23">
        <f>EXP(-LN(2)/25)*AV77+(1-EXP(-LN(2)/25))/(LN(2)/25)*Calculateur!AQ78*Calculateur!AS78*VLOOKUP('Données projet'!$B$10,Paramètres!$A$1:$I$89,3,0)*0.475*44/12</f>
        <v>0.41770183727850635</v>
      </c>
      <c r="AW78" s="23">
        <f>EXP(-LN(2)/2)*AW77+(1-EXP(-LN(2)/2))/(LN(2)/2)*AQ78*AT78*VLOOKUP('Données projet'!$B$10,Paramètres!$A$1:$I$89,3,0)*0.475*44/12</f>
        <v>4.8216791955121601E-7</v>
      </c>
      <c r="AX78" s="23">
        <f t="shared" si="60"/>
        <v>1.1825626197047503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67.084122287137774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1.4255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5.2268333333333334</v>
      </c>
      <c r="H79" s="70">
        <f t="shared" si="56"/>
        <v>222.1695666666667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2.6</v>
      </c>
      <c r="N79" s="14">
        <f>IF('Données projet'!$A$36&gt;35,N78+M79-V78,IF(A79&lt;'Données projet'!$A$36,$K$205^A79,IF(A79='Données projet'!$A$36,'Données projet'!$B$36,N78+M79-V78)))</f>
        <v>177.60000000000005</v>
      </c>
      <c r="O79" s="14">
        <f>N79*VLOOKUP('Données projet'!$B$9,Paramètres!$A$1:$I$89,3,0)*VLOOKUP('Données projet'!$B$9,Paramètres!$A$1:$I$89,5,0)</f>
        <v>185.62752000000009</v>
      </c>
      <c r="P79" s="14">
        <f t="shared" si="87"/>
        <v>46.571953629574367</v>
      </c>
      <c r="Q79" s="22">
        <f t="shared" si="54"/>
        <v>404.41408323817558</v>
      </c>
      <c r="R79" s="62">
        <f t="shared" si="55"/>
        <v>687.24133947545215</v>
      </c>
      <c r="S79" s="62">
        <f ca="1">AVERAGE(OFFSET($R$3,0,0,'Données projet'!$E$9+1,1))-AVERAGE(OFFSET($H$3,0,0,'Données projet'!$E$9+1,1))</f>
        <v>326.68822125342342</v>
      </c>
      <c r="T79" s="62">
        <f t="shared" si="88"/>
        <v>332.44447101343894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251.79502399207217</v>
      </c>
      <c r="AO79" s="62">
        <f t="shared" si="90"/>
        <v>353.30085932455904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0.74986185628897684</v>
      </c>
      <c r="AV79" s="23">
        <f>EXP(-LN(2)/25)*AV78+(1-EXP(-LN(2)/25))/(LN(2)/25)*Calculateur!AQ79*Calculateur!AS79*VLOOKUP('Données projet'!$B$10,Paramètres!$A$1:$I$89,3,0)*0.475*44/12</f>
        <v>0.40627975857214066</v>
      </c>
      <c r="AW79" s="23">
        <f>EXP(-LN(2)/2)*AW78+(1-EXP(-LN(2)/2))/(LN(2)/2)*AQ79*AT79*VLOOKUP('Données projet'!$B$10,Paramètres!$A$1:$I$89,3,0)*0.475*44/12</f>
        <v>3.4094420558527456E-7</v>
      </c>
      <c r="AX79" s="23">
        <f t="shared" si="60"/>
        <v>1.156141955805323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67.134706246529973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1.4255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5.2268333333333334</v>
      </c>
      <c r="H80" s="70">
        <f t="shared" si="56"/>
        <v>222.1695666666667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2.6</v>
      </c>
      <c r="N80" s="14">
        <f>IF('Données projet'!$A$36&gt;35,N79+M80-V79,IF(A80&lt;'Données projet'!$A$36,$K$205^A80,IF(A80='Données projet'!$A$36,'Données projet'!$B$36,N79+M80-V79)))</f>
        <v>180.20000000000005</v>
      </c>
      <c r="O80" s="14">
        <f>N80*VLOOKUP('Données projet'!$B$9,Paramètres!$A$1:$I$89,3,0)*VLOOKUP('Données projet'!$B$9,Paramètres!$A$1:$I$89,5,0)</f>
        <v>188.34504000000007</v>
      </c>
      <c r="P80" s="14">
        <f t="shared" si="87"/>
        <v>47.173878605210611</v>
      </c>
      <c r="Q80" s="22">
        <f t="shared" si="54"/>
        <v>410.19544990407525</v>
      </c>
      <c r="R80" s="62">
        <f t="shared" si="55"/>
        <v>693.20496309089879</v>
      </c>
      <c r="S80" s="62">
        <f ca="1">AVERAGE(OFFSET($R$3,0,0,'Données projet'!$E$9+1,1))-AVERAGE(OFFSET($H$3,0,0,'Données projet'!$E$9+1,1))</f>
        <v>326.68822125342342</v>
      </c>
      <c r="T80" s="62">
        <f t="shared" si="88"/>
        <v>332.44447101343894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251.79502399207217</v>
      </c>
      <c r="AO80" s="62">
        <f t="shared" si="90"/>
        <v>353.30085932455904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0.73515752265772072</v>
      </c>
      <c r="AV80" s="23">
        <f>EXP(-LN(2)/25)*AV79+(1-EXP(-LN(2)/25))/(LN(2)/25)*Calculateur!AQ80*Calculateur!AS80*VLOOKUP('Données projet'!$B$10,Paramètres!$A$1:$I$89,3,0)*0.475*44/12</f>
        <v>0.39517001720866152</v>
      </c>
      <c r="AW80" s="23">
        <f>EXP(-LN(2)/2)*AW79+(1-EXP(-LN(2)/2))/(LN(2)/2)*AQ80*AT80*VLOOKUP('Données projet'!$B$10,Paramètres!$A$1:$I$89,3,0)*0.475*44/12</f>
        <v>2.4108395977560801E-7</v>
      </c>
      <c r="AX80" s="23">
        <f t="shared" si="60"/>
        <v>1.1303277809503418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67.184412687315501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1.4255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5.2268333333333334</v>
      </c>
      <c r="H81" s="70">
        <f t="shared" si="56"/>
        <v>222.1695666666667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2.6</v>
      </c>
      <c r="N81" s="14">
        <f>IF('Données projet'!$A$36&gt;35,N80+M81-V80,IF(A81&lt;'Données projet'!$A$36,$K$205^A81,IF(A81='Données projet'!$A$36,'Données projet'!$B$36,N80+M81-V80)))</f>
        <v>182.80000000000004</v>
      </c>
      <c r="O81" s="14">
        <f>N81*VLOOKUP('Données projet'!$B$9,Paramètres!$A$1:$I$89,3,0)*VLOOKUP('Données projet'!$B$9,Paramètres!$A$1:$I$89,5,0)</f>
        <v>191.06256000000005</v>
      </c>
      <c r="P81" s="14">
        <f t="shared" si="87"/>
        <v>47.774793478923506</v>
      </c>
      <c r="Q81" s="22">
        <f t="shared" si="54"/>
        <v>415.97505730912513</v>
      </c>
      <c r="R81" s="62">
        <f t="shared" si="55"/>
        <v>699.1636656948865</v>
      </c>
      <c r="S81" s="62">
        <f ca="1">AVERAGE(OFFSET($R$3,0,0,'Données projet'!$E$9+1,1))-AVERAGE(OFFSET($H$3,0,0,'Données projet'!$E$9+1,1))</f>
        <v>326.68822125342342</v>
      </c>
      <c r="T81" s="62">
        <f t="shared" si="88"/>
        <v>332.44447101343894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251.79502399207217</v>
      </c>
      <c r="AO81" s="62">
        <f t="shared" si="90"/>
        <v>353.30085932455904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0.72074153204021563</v>
      </c>
      <c r="AV81" s="23">
        <f>EXP(-LN(2)/25)*AV80+(1-EXP(-LN(2)/25))/(LN(2)/25)*Calculateur!AQ81*Calculateur!AS81*VLOOKUP('Données projet'!$B$10,Paramètres!$A$1:$I$89,3,0)*0.475*44/12</f>
        <v>0.38436407230700265</v>
      </c>
      <c r="AW81" s="23">
        <f>EXP(-LN(2)/2)*AW80+(1-EXP(-LN(2)/2))/(LN(2)/2)*AQ81*AT81*VLOOKUP('Données projet'!$B$10,Paramètres!$A$1:$I$89,3,0)*0.475*44/12</f>
        <v>1.7047210279263728E-7</v>
      </c>
      <c r="AX81" s="23">
        <f t="shared" si="60"/>
        <v>1.1051057748193212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67.233256832480365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1.4255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5.2268333333333334</v>
      </c>
      <c r="H82" s="70">
        <f t="shared" si="56"/>
        <v>222.1695666666667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2.6</v>
      </c>
      <c r="N82" s="14">
        <f>IF('Données projet'!$A$36&gt;35,N81+M82-V81,IF(A82&lt;'Données projet'!$A$36,$K$205^A82,IF(A82='Données projet'!$A$36,'Données projet'!$B$36,N81+M82-V81)))</f>
        <v>185.40000000000003</v>
      </c>
      <c r="O82" s="14">
        <f>N82*VLOOKUP('Données projet'!$B$9,Paramètres!$A$1:$I$89,3,0)*VLOOKUP('Données projet'!$B$9,Paramètres!$A$1:$I$89,5,0)</f>
        <v>193.78008000000005</v>
      </c>
      <c r="P82" s="14">
        <f t="shared" si="87"/>
        <v>48.374714277711789</v>
      </c>
      <c r="Q82" s="22">
        <f t="shared" si="54"/>
        <v>421.7529333670148</v>
      </c>
      <c r="R82" s="62">
        <f t="shared" si="55"/>
        <v>705.1175300504093</v>
      </c>
      <c r="S82" s="62">
        <f ca="1">AVERAGE(OFFSET($R$3,0,0,'Données projet'!$E$9+1,1))-AVERAGE(OFFSET($H$3,0,0,'Données projet'!$E$9+1,1))</f>
        <v>326.68822125342342</v>
      </c>
      <c r="T82" s="62">
        <f t="shared" si="88"/>
        <v>332.44447101343894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251.79502399207217</v>
      </c>
      <c r="AO82" s="62">
        <f t="shared" si="90"/>
        <v>353.30085932455904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0.70660823020583374</v>
      </c>
      <c r="AV82" s="23">
        <f>EXP(-LN(2)/25)*AV81+(1-EXP(-LN(2)/25))/(LN(2)/25)*Calculateur!AQ82*Calculateur!AS82*VLOOKUP('Données projet'!$B$10,Paramètres!$A$1:$I$89,3,0)*0.475*44/12</f>
        <v>0.37385361653693955</v>
      </c>
      <c r="AW82" s="23">
        <f>EXP(-LN(2)/2)*AW81+(1-EXP(-LN(2)/2))/(LN(2)/2)*AQ82*AT82*VLOOKUP('Données projet'!$B$10,Paramètres!$A$1:$I$89,3,0)*0.475*44/12</f>
        <v>1.20541979887804E-7</v>
      </c>
      <c r="AX82" s="23">
        <f t="shared" si="60"/>
        <v>1.0804619672847533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67.281253640925769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1.4255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5.2268333333333334</v>
      </c>
      <c r="H83" s="70">
        <f t="shared" si="56"/>
        <v>222.1695666666667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188</v>
      </c>
      <c r="L83" s="13">
        <f>VLOOKUP(A83,'Données projet'!$A$35:$I$55,9,0)</f>
        <v>2.6</v>
      </c>
      <c r="M83" s="13">
        <f t="array" ref="M83">INDEX(L:L,MIN(IF(ISNUMBER(L83:L279),ROW(L83:L279),"")))</f>
        <v>2.6</v>
      </c>
      <c r="N83" s="14">
        <f>IF('Données projet'!$A$36&gt;35,N82+M83-V82,IF(A83&lt;'Données projet'!$A$36,$K$205^A83,IF(A83='Données projet'!$A$36,'Données projet'!$B$36,N82+M83-V82)))</f>
        <v>188.00000000000003</v>
      </c>
      <c r="O83" s="14">
        <f>N83*VLOOKUP('Données projet'!$B$9,Paramètres!$A$1:$I$89,3,0)*VLOOKUP('Données projet'!$B$9,Paramètres!$A$1:$I$89,5,0)</f>
        <v>196.49760000000003</v>
      </c>
      <c r="P83" s="14">
        <f t="shared" si="87"/>
        <v>48.973656553237163</v>
      </c>
      <c r="Q83" s="22">
        <f t="shared" si="54"/>
        <v>427.52910516355479</v>
      </c>
      <c r="R83" s="62">
        <f t="shared" si="55"/>
        <v>711.06663714106935</v>
      </c>
      <c r="S83" s="62">
        <f ca="1">AVERAGE(OFFSET($R$3,0,0,'Données projet'!$E$9+1,1))-AVERAGE(OFFSET($H$3,0,0,'Données projet'!$E$9+1,1))</f>
        <v>326.68822125342342</v>
      </c>
      <c r="T83" s="62">
        <f t="shared" si="88"/>
        <v>332.44447101343894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9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251.79502399207217</v>
      </c>
      <c r="AO83" s="62">
        <f t="shared" si="90"/>
        <v>353.30085932455904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0.69275207379996118</v>
      </c>
      <c r="AV83" s="23">
        <f>EXP(-LN(2)/25)*AV82+(1-EXP(-LN(2)/25))/(LN(2)/25)*Calculateur!AQ83*Calculateur!AS83*VLOOKUP('Données projet'!$B$10,Paramètres!$A$1:$I$89,3,0)*0.475*44/12</f>
        <v>0.36363056973262969</v>
      </c>
      <c r="AW83" s="23">
        <f>EXP(-LN(2)/2)*AW82+(1-EXP(-LN(2)/2))/(LN(2)/2)*AQ83*AT83*VLOOKUP('Données projet'!$B$10,Paramètres!$A$1:$I$89,3,0)*0.475*44/12</f>
        <v>8.5236051396318639E-8</v>
      </c>
      <c r="AX83" s="23">
        <f t="shared" si="60"/>
        <v>1.0563827287686423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67.328417812049423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1.4255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5.2268333333333334</v>
      </c>
      <c r="H84" s="70">
        <f t="shared" si="56"/>
        <v>222.1695666666667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2.4</v>
      </c>
      <c r="N84" s="14">
        <f>IF('Données projet'!$A$36&gt;35,N83+M84-V83,IF(A84&lt;'Données projet'!$A$36,$K$205^A84,IF(A84='Données projet'!$A$36,'Données projet'!$B$36,N83+M84-V83)))</f>
        <v>181.40000000000003</v>
      </c>
      <c r="O84" s="14">
        <f>N84*VLOOKUP('Données projet'!$B$9,Paramètres!$A$1:$I$89,3,0)*VLOOKUP('Données projet'!$B$9,Paramètres!$A$1:$I$89,5,0)</f>
        <v>189.59928000000005</v>
      </c>
      <c r="P84" s="14">
        <f t="shared" si="87"/>
        <v>47.451348465617379</v>
      </c>
      <c r="Q84" s="22">
        <f t="shared" si="54"/>
        <v>412.8631779109503</v>
      </c>
      <c r="R84" s="62">
        <f t="shared" si="55"/>
        <v>696.57064514185731</v>
      </c>
      <c r="S84" s="62">
        <f ca="1">AVERAGE(OFFSET($R$3,0,0,'Données projet'!$E$9+1,1))-AVERAGE(OFFSET($H$3,0,0,'Données projet'!$E$9+1,1))</f>
        <v>326.68822125342342</v>
      </c>
      <c r="T84" s="62">
        <f t="shared" si="88"/>
        <v>332.44447101343894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251.79502399207217</v>
      </c>
      <c r="AO84" s="62">
        <f t="shared" si="90"/>
        <v>353.30085932455904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0.67916762816978693</v>
      </c>
      <c r="AV84" s="23">
        <f>EXP(-LN(2)/25)*AV83+(1-EXP(-LN(2)/25))/(LN(2)/25)*Calculateur!AQ84*Calculateur!AS84*VLOOKUP('Données projet'!$B$10,Paramètres!$A$1:$I$89,3,0)*0.475*44/12</f>
        <v>0.35368707268079036</v>
      </c>
      <c r="AW84" s="23">
        <f>EXP(-LN(2)/2)*AW83+(1-EXP(-LN(2)/2))/(LN(2)/2)*AQ84*AT84*VLOOKUP('Données projet'!$B$10,Paramètres!$A$1:$I$89,3,0)*0.475*44/12</f>
        <v>6.0270989943902001E-8</v>
      </c>
      <c r="AX84" s="23">
        <f t="shared" si="60"/>
        <v>1.0328547611215673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67.374763790247385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1.4255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5.2268333333333334</v>
      </c>
      <c r="H85" s="70">
        <f t="shared" si="56"/>
        <v>222.1695666666667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2.4</v>
      </c>
      <c r="N85" s="14">
        <f>IF('Données projet'!$A$36&gt;35,N84+M85-V84,IF(A85&lt;'Données projet'!$A$36,$K$205^A85,IF(A85='Données projet'!$A$36,'Données projet'!$B$36,N84+M85-V84)))</f>
        <v>183.80000000000004</v>
      </c>
      <c r="O85" s="14">
        <f>N85*VLOOKUP('Données projet'!$B$9,Paramètres!$A$1:$I$89,3,0)*VLOOKUP('Données projet'!$B$9,Paramètres!$A$1:$I$89,5,0)</f>
        <v>192.10776000000004</v>
      </c>
      <c r="P85" s="14">
        <f t="shared" si="87"/>
        <v>48.005649029996228</v>
      </c>
      <c r="Q85" s="22">
        <f t="shared" si="54"/>
        <v>418.1975207272435</v>
      </c>
      <c r="R85" s="62">
        <f t="shared" si="55"/>
        <v>702.07197521481498</v>
      </c>
      <c r="S85" s="62">
        <f ca="1">AVERAGE(OFFSET($R$3,0,0,'Données projet'!$E$9+1,1))-AVERAGE(OFFSET($H$3,0,0,'Données projet'!$E$9+1,1))</f>
        <v>326.68822125342342</v>
      </c>
      <c r="T85" s="62">
        <f t="shared" si="88"/>
        <v>332.44447101343894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251.79502399207217</v>
      </c>
      <c r="AO85" s="62">
        <f t="shared" si="90"/>
        <v>353.30085932455904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0.66584956523272665</v>
      </c>
      <c r="AV85" s="23">
        <f>EXP(-LN(2)/25)*AV84+(1-EXP(-LN(2)/25))/(LN(2)/25)*Calculateur!AQ85*Calculateur!AS85*VLOOKUP('Données projet'!$B$10,Paramètres!$A$1:$I$89,3,0)*0.475*44/12</f>
        <v>0.34401548107873936</v>
      </c>
      <c r="AW85" s="23">
        <f>EXP(-LN(2)/2)*AW84+(1-EXP(-LN(2)/2))/(LN(2)/2)*AQ85*AT85*VLOOKUP('Données projet'!$B$10,Paramètres!$A$1:$I$89,3,0)*0.475*44/12</f>
        <v>4.2618025698159319E-8</v>
      </c>
      <c r="AX85" s="23">
        <f t="shared" si="60"/>
        <v>1.0098650889294918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67.420305769337688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1.4255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5.2268333333333334</v>
      </c>
      <c r="H86" s="70">
        <f t="shared" si="56"/>
        <v>222.1695666666667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2.4</v>
      </c>
      <c r="N86" s="14">
        <f>IF('Données projet'!$A$36&gt;35,N85+M86-V85,IF(A86&lt;'Données projet'!$A$36,$K$205^A86,IF(A86='Données projet'!$A$36,'Données projet'!$B$36,N85+M86-V85)))</f>
        <v>186.20000000000005</v>
      </c>
      <c r="O86" s="14">
        <f>N86*VLOOKUP('Données projet'!$B$9,Paramètres!$A$1:$I$89,3,0)*VLOOKUP('Données projet'!$B$9,Paramètres!$A$1:$I$89,5,0)</f>
        <v>194.61624000000006</v>
      </c>
      <c r="P86" s="14">
        <f t="shared" si="87"/>
        <v>48.559107720402288</v>
      </c>
      <c r="Q86" s="22">
        <f t="shared" si="54"/>
        <v>423.53039727970076</v>
      </c>
      <c r="R86" s="62">
        <f t="shared" si="55"/>
        <v>707.56894216836122</v>
      </c>
      <c r="S86" s="62">
        <f ca="1">AVERAGE(OFFSET($R$3,0,0,'Données projet'!$E$9+1,1))-AVERAGE(OFFSET($H$3,0,0,'Données projet'!$E$9+1,1))</f>
        <v>326.68822125342342</v>
      </c>
      <c r="T86" s="62">
        <f t="shared" si="88"/>
        <v>332.44447101343894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251.79502399207217</v>
      </c>
      <c r="AO86" s="62">
        <f t="shared" si="90"/>
        <v>353.30085932455904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0.65279266138664582</v>
      </c>
      <c r="AV86" s="23">
        <f>EXP(-LN(2)/25)*AV85+(1-EXP(-LN(2)/25))/(LN(2)/25)*Calculateur!AQ86*Calculateur!AS86*VLOOKUP('Données projet'!$B$10,Paramètres!$A$1:$I$89,3,0)*0.475*44/12</f>
        <v>0.33460835965765334</v>
      </c>
      <c r="AW86" s="23">
        <f>EXP(-LN(2)/2)*AW85+(1-EXP(-LN(2)/2))/(LN(2)/2)*AQ86*AT86*VLOOKUP('Données projet'!$B$10,Paramètres!$A$1:$I$89,3,0)*0.475*44/12</f>
        <v>3.0135494971951001E-8</v>
      </c>
      <c r="AX86" s="23">
        <f t="shared" si="60"/>
        <v>0.98740105117979415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67.46505769690738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1.4255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5.2268333333333334</v>
      </c>
      <c r="H87" s="70">
        <f t="shared" si="56"/>
        <v>222.1695666666667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2.4</v>
      </c>
      <c r="N87" s="14">
        <f>IF('Données projet'!$A$36&gt;35,N86+M87-V86,IF(A87&lt;'Données projet'!$A$36,$K$205^A87,IF(A87='Données projet'!$A$36,'Données projet'!$B$36,N86+M87-V86)))</f>
        <v>188.60000000000005</v>
      </c>
      <c r="O87" s="14">
        <f>N87*VLOOKUP('Données projet'!$B$9,Paramètres!$A$1:$I$89,3,0)*VLOOKUP('Données projet'!$B$9,Paramètres!$A$1:$I$89,5,0)</f>
        <v>197.12472000000005</v>
      </c>
      <c r="P87" s="14">
        <f t="shared" si="87"/>
        <v>49.111736642730975</v>
      </c>
      <c r="Q87" s="22">
        <f t="shared" si="54"/>
        <v>428.86182865275651</v>
      </c>
      <c r="R87" s="62">
        <f t="shared" si="55"/>
        <v>713.06161734089812</v>
      </c>
      <c r="S87" s="62">
        <f ca="1">AVERAGE(OFFSET($R$3,0,0,'Données projet'!$E$9+1,1))-AVERAGE(OFFSET($H$3,0,0,'Données projet'!$E$9+1,1))</f>
        <v>326.68822125342342</v>
      </c>
      <c r="T87" s="62">
        <f t="shared" si="88"/>
        <v>332.44447101343894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251.79502399207217</v>
      </c>
      <c r="AO87" s="62">
        <f t="shared" si="90"/>
        <v>353.30085932455904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0.63999179546106166</v>
      </c>
      <c r="AV87" s="23">
        <f>EXP(-LN(2)/25)*AV86+(1-EXP(-LN(2)/25))/(LN(2)/25)*Calculateur!AQ87*Calculateur!AS87*VLOOKUP('Données projet'!$B$10,Paramètres!$A$1:$I$89,3,0)*0.475*44/12</f>
        <v>0.32545847646652593</v>
      </c>
      <c r="AW87" s="23">
        <f>EXP(-LN(2)/2)*AW86+(1-EXP(-LN(2)/2))/(LN(2)/2)*AQ87*AT87*VLOOKUP('Données projet'!$B$10,Paramètres!$A$1:$I$89,3,0)*0.475*44/12</f>
        <v>2.130901284907966E-8</v>
      </c>
      <c r="AX87" s="23">
        <f t="shared" si="60"/>
        <v>0.96545029323660048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67.50903327858407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1.4255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5.2268333333333334</v>
      </c>
      <c r="H88" s="70">
        <f t="shared" si="56"/>
        <v>222.1695666666667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191</v>
      </c>
      <c r="L88" s="13">
        <f>VLOOKUP(A88,'Données projet'!$A$35:$I$55,9,0)</f>
        <v>2.4</v>
      </c>
      <c r="M88" s="13">
        <f t="array" ref="M88">INDEX(L:L,MIN(IF(ISNUMBER(L88:L284),ROW(L88:L284),"")))</f>
        <v>2.4</v>
      </c>
      <c r="N88" s="14">
        <f>IF('Données projet'!$A$36&gt;35,N87+M88-V87,IF(A88&lt;'Données projet'!$A$36,$K$205^A88,IF(A88='Données projet'!$A$36,'Données projet'!$B$36,N87+M88-V87)))</f>
        <v>191.00000000000006</v>
      </c>
      <c r="O88" s="14">
        <f>N88*VLOOKUP('Données projet'!$B$9,Paramètres!$A$1:$I$89,3,0)*VLOOKUP('Données projet'!$B$9,Paramètres!$A$1:$I$89,5,0)</f>
        <v>199.63320000000007</v>
      </c>
      <c r="P88" s="14">
        <f t="shared" si="87"/>
        <v>49.663547577057898</v>
      </c>
      <c r="Q88" s="22">
        <f t="shared" si="54"/>
        <v>434.19183536337596</v>
      </c>
      <c r="R88" s="62">
        <f t="shared" si="55"/>
        <v>718.55007063156495</v>
      </c>
      <c r="S88" s="62">
        <f ca="1">AVERAGE(OFFSET($R$3,0,0,'Données projet'!$E$9+1,1))-AVERAGE(OFFSET($H$3,0,0,'Données projet'!$E$9+1,1))</f>
        <v>326.68822125342342</v>
      </c>
      <c r="T88" s="62">
        <f t="shared" si="88"/>
        <v>332.44447101343894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251.79502399207217</v>
      </c>
      <c r="AO88" s="62">
        <f t="shared" si="90"/>
        <v>353.30085932455904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0.62744194670852094</v>
      </c>
      <c r="AV88" s="23">
        <f>EXP(-LN(2)/25)*AV87+(1-EXP(-LN(2)/25))/(LN(2)/25)*Calculateur!AQ88*Calculateur!AS88*VLOOKUP('Données projet'!$B$10,Paramètres!$A$1:$I$89,3,0)*0.475*44/12</f>
        <v>0.31655879731243136</v>
      </c>
      <c r="AW88" s="23">
        <f>EXP(-LN(2)/2)*AW87+(1-EXP(-LN(2)/2))/(LN(2)/2)*AQ88*AT88*VLOOKUP('Données projet'!$B$10,Paramètres!$A$1:$I$89,3,0)*0.475*44/12</f>
        <v>1.50677474859755E-8</v>
      </c>
      <c r="AX88" s="23">
        <f t="shared" si="60"/>
        <v>0.94400075908869985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67.552245982233345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1.4255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5.2268333333333334</v>
      </c>
      <c r="H89" s="70">
        <f t="shared" si="56"/>
        <v>222.1695666666667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2</v>
      </c>
      <c r="N89" s="14">
        <f>IF('Données projet'!$A$36&gt;35,N88+M89-V88,IF(A89&lt;'Données projet'!$A$36,$K$205^A89,IF(A89='Données projet'!$A$36,'Données projet'!$B$36,N88+M89-V88)))</f>
        <v>185.00000000000006</v>
      </c>
      <c r="O89" s="14">
        <f>N89*VLOOKUP('Données projet'!$B$9,Paramètres!$A$1:$I$89,3,0)*VLOOKUP('Données projet'!$B$9,Paramètres!$A$1:$I$89,5,0)</f>
        <v>193.36200000000008</v>
      </c>
      <c r="P89" s="14">
        <f t="shared" si="87"/>
        <v>48.282482845036888</v>
      </c>
      <c r="Q89" s="22">
        <f t="shared" si="54"/>
        <v>420.86414095510605</v>
      </c>
      <c r="R89" s="62">
        <f t="shared" si="55"/>
        <v>705.37807410941195</v>
      </c>
      <c r="S89" s="62">
        <f ca="1">AVERAGE(OFFSET($R$3,0,0,'Données projet'!$E$9+1,1))-AVERAGE(OFFSET($H$3,0,0,'Données projet'!$E$9+1,1))</f>
        <v>326.68822125342342</v>
      </c>
      <c r="T89" s="62">
        <f t="shared" si="88"/>
        <v>332.44447101343894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251.79502399207217</v>
      </c>
      <c r="AO89" s="62">
        <f t="shared" si="90"/>
        <v>353.30085932455904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0.61513819283536564</v>
      </c>
      <c r="AV89" s="23">
        <f>EXP(-LN(2)/25)*AV88+(1-EXP(-LN(2)/25))/(LN(2)/25)*Calculateur!AQ89*Calculateur!AS89*VLOOKUP('Données projet'!$B$10,Paramètres!$A$1:$I$89,3,0)*0.475*44/12</f>
        <v>0.30790248035281931</v>
      </c>
      <c r="AW89" s="23">
        <f>EXP(-LN(2)/2)*AW88+(1-EXP(-LN(2)/2))/(LN(2)/2)*AQ89*AT89*VLOOKUP('Données projet'!$B$10,Paramètres!$A$1:$I$89,3,0)*0.475*44/12</f>
        <v>1.065450642453983E-8</v>
      </c>
      <c r="AX89" s="23">
        <f t="shared" si="60"/>
        <v>0.92304068384269133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67.594709042083423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1.4255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5.2268333333333334</v>
      </c>
      <c r="H90" s="70">
        <f t="shared" si="56"/>
        <v>222.1695666666667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2</v>
      </c>
      <c r="N90" s="14">
        <f>IF('Données projet'!$A$36&gt;35,N89+M90-V89,IF(A90&lt;'Données projet'!$A$36,$K$205^A90,IF(A90='Données projet'!$A$36,'Données projet'!$B$36,N89+M90-V89)))</f>
        <v>187.00000000000006</v>
      </c>
      <c r="O90" s="14">
        <f>N90*VLOOKUP('Données projet'!$B$9,Paramètres!$A$1:$I$89,3,0)*VLOOKUP('Données projet'!$B$9,Paramètres!$A$1:$I$89,5,0)</f>
        <v>195.4524000000001</v>
      </c>
      <c r="P90" s="14">
        <f t="shared" si="87"/>
        <v>48.743408969320619</v>
      </c>
      <c r="Q90" s="22">
        <f t="shared" si="54"/>
        <v>425.30770062156694</v>
      </c>
      <c r="R90" s="62">
        <f t="shared" si="55"/>
        <v>709.97463065175407</v>
      </c>
      <c r="S90" s="62">
        <f ca="1">AVERAGE(OFFSET($R$3,0,0,'Données projet'!$E$9+1,1))-AVERAGE(OFFSET($H$3,0,0,'Données projet'!$E$9+1,1))</f>
        <v>326.68822125342342</v>
      </c>
      <c r="T90" s="62">
        <f t="shared" si="88"/>
        <v>332.44447101343894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251.79502399207217</v>
      </c>
      <c r="AO90" s="62">
        <f t="shared" si="90"/>
        <v>353.30085932455904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0.6030757080711141</v>
      </c>
      <c r="AV90" s="23">
        <f>EXP(-LN(2)/25)*AV89+(1-EXP(-LN(2)/25))/(LN(2)/25)*Calculateur!AQ90*Calculateur!AS90*VLOOKUP('Données projet'!$B$10,Paramètres!$A$1:$I$89,3,0)*0.475*44/12</f>
        <v>0.29948287083568376</v>
      </c>
      <c r="AW90" s="23">
        <f>EXP(-LN(2)/2)*AW89+(1-EXP(-LN(2)/2))/(LN(2)/2)*AQ90*AT90*VLOOKUP('Données projet'!$B$10,Paramètres!$A$1:$I$89,3,0)*0.475*44/12</f>
        <v>7.5338737429877502E-9</v>
      </c>
      <c r="AX90" s="23">
        <f t="shared" si="60"/>
        <v>0.90255858644067155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67.636435462778294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1.4255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5.2268333333333334</v>
      </c>
      <c r="H91" s="70">
        <f t="shared" si="56"/>
        <v>222.1695666666667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2</v>
      </c>
      <c r="N91" s="14">
        <f>IF('Données projet'!$A$36&gt;35,N90+M91-V90,IF(A91&lt;'Données projet'!$A$36,$K$205^A91,IF(A91='Données projet'!$A$36,'Données projet'!$B$36,N90+M91-V90)))</f>
        <v>189.00000000000006</v>
      </c>
      <c r="O91" s="14">
        <f>N91*VLOOKUP('Données projet'!$B$9,Paramètres!$A$1:$I$89,3,0)*VLOOKUP('Données projet'!$B$9,Paramètres!$A$1:$I$89,5,0)</f>
        <v>197.54280000000008</v>
      </c>
      <c r="P91" s="14">
        <f t="shared" si="87"/>
        <v>49.203761623019254</v>
      </c>
      <c r="Q91" s="22">
        <f t="shared" si="54"/>
        <v>429.75026149342534</v>
      </c>
      <c r="R91" s="62">
        <f t="shared" si="55"/>
        <v>714.56753424574686</v>
      </c>
      <c r="S91" s="62">
        <f ca="1">AVERAGE(OFFSET($R$3,0,0,'Données projet'!$E$9+1,1))-AVERAGE(OFFSET($H$3,0,0,'Données projet'!$E$9+1,1))</f>
        <v>326.68822125342342</v>
      </c>
      <c r="T91" s="62">
        <f t="shared" si="88"/>
        <v>332.44447101343894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251.79502399207217</v>
      </c>
      <c r="AO91" s="62">
        <f t="shared" si="90"/>
        <v>353.30085932455904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0.59124976127570028</v>
      </c>
      <c r="AV91" s="23">
        <f>EXP(-LN(2)/25)*AV90+(1-EXP(-LN(2)/25))/(LN(2)/25)*Calculateur!AQ91*Calculateur!AS91*VLOOKUP('Données projet'!$B$10,Paramètres!$A$1:$I$89,3,0)*0.475*44/12</f>
        <v>0.2912934959835623</v>
      </c>
      <c r="AW91" s="23">
        <f>EXP(-LN(2)/2)*AW90+(1-EXP(-LN(2)/2))/(LN(2)/2)*AQ91*AT91*VLOOKUP('Données projet'!$B$10,Paramètres!$A$1:$I$89,3,0)*0.475*44/12</f>
        <v>5.3272532122699149E-9</v>
      </c>
      <c r="AX91" s="23">
        <f t="shared" si="60"/>
        <v>0.88254326258651583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67.677438023360409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1.4255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5.2268333333333334</v>
      </c>
      <c r="H92" s="70">
        <f t="shared" si="56"/>
        <v>222.1695666666667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2</v>
      </c>
      <c r="N92" s="14">
        <f>IF('Données projet'!$A$36&gt;35,N91+M92-V91,IF(A92&lt;'Données projet'!$A$36,$K$205^A92,IF(A92='Données projet'!$A$36,'Données projet'!$B$36,N91+M92-V91)))</f>
        <v>191.00000000000006</v>
      </c>
      <c r="O92" s="14">
        <f>N92*VLOOKUP('Données projet'!$B$9,Paramètres!$A$1:$I$89,3,0)*VLOOKUP('Données projet'!$B$9,Paramètres!$A$1:$I$89,5,0)</f>
        <v>199.63320000000007</v>
      </c>
      <c r="P92" s="14">
        <f t="shared" si="87"/>
        <v>49.663547577057898</v>
      </c>
      <c r="Q92" s="22">
        <f t="shared" si="54"/>
        <v>434.19183536337596</v>
      </c>
      <c r="R92" s="62">
        <f t="shared" si="55"/>
        <v>719.15684272771887</v>
      </c>
      <c r="S92" s="62">
        <f ca="1">AVERAGE(OFFSET($R$3,0,0,'Données projet'!$E$9+1,1))-AVERAGE(OFFSET($H$3,0,0,'Données projet'!$E$9+1,1))</f>
        <v>326.68822125342342</v>
      </c>
      <c r="T92" s="62">
        <f t="shared" si="88"/>
        <v>332.44447101343894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251.79502399207217</v>
      </c>
      <c r="AO92" s="62">
        <f t="shared" si="90"/>
        <v>353.30085932455904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0.57965571408382921</v>
      </c>
      <c r="AV92" s="23">
        <f>EXP(-LN(2)/25)*AV91+(1-EXP(-LN(2)/25))/(LN(2)/25)*Calculateur!AQ92*Calculateur!AS92*VLOOKUP('Données projet'!$B$10,Paramètres!$A$1:$I$89,3,0)*0.475*44/12</f>
        <v>0.2833280600174326</v>
      </c>
      <c r="AW92" s="23">
        <f>EXP(-LN(2)/2)*AW91+(1-EXP(-LN(2)/2))/(LN(2)/2)*AQ92*AT92*VLOOKUP('Données projet'!$B$10,Paramètres!$A$1:$I$89,3,0)*0.475*44/12</f>
        <v>3.7669368714938751E-9</v>
      </c>
      <c r="AX92" s="23">
        <f t="shared" si="60"/>
        <v>0.86298377786819869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67.717729281184418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1.4255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5.2268333333333334</v>
      </c>
      <c r="H93" s="70">
        <f t="shared" si="56"/>
        <v>222.1695666666667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193</v>
      </c>
      <c r="L93" s="13">
        <f>VLOOKUP(A93,'Données projet'!$A$35:$I$55,9,0)</f>
        <v>2</v>
      </c>
      <c r="M93" s="13">
        <f t="array" ref="M93">INDEX(L:L,MIN(IF(ISNUMBER(L93:L289),ROW(L93:L289),"")))</f>
        <v>2</v>
      </c>
      <c r="N93" s="14">
        <f>IF('Données projet'!$A$36&gt;35,N92+M93-V92,IF(A93&lt;'Données projet'!$A$36,$K$205^A93,IF(A93='Données projet'!$A$36,'Données projet'!$B$36,N92+M93-V92)))</f>
        <v>193.00000000000006</v>
      </c>
      <c r="O93" s="14">
        <f>N93*VLOOKUP('Données projet'!$B$9,Paramètres!$A$1:$I$89,3,0)*VLOOKUP('Données projet'!$B$9,Paramètres!$A$1:$I$89,5,0)</f>
        <v>201.72360000000009</v>
      </c>
      <c r="P93" s="14">
        <f t="shared" si="87"/>
        <v>50.122773452392735</v>
      </c>
      <c r="Q93" s="22">
        <f t="shared" si="54"/>
        <v>438.6324337629174</v>
      </c>
      <c r="R93" s="62">
        <f t="shared" si="55"/>
        <v>723.74261287404818</v>
      </c>
      <c r="S93" s="62">
        <f ca="1">AVERAGE(OFFSET($R$3,0,0,'Données projet'!$E$9+1,1))-AVERAGE(OFFSET($H$3,0,0,'Données projet'!$E$9+1,1))</f>
        <v>326.68822125342342</v>
      </c>
      <c r="T93" s="62">
        <f t="shared" si="88"/>
        <v>332.44447101343894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193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251.79502399207217</v>
      </c>
      <c r="AO93" s="62">
        <f t="shared" si="90"/>
        <v>353.30085932455904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0.56828901908572027</v>
      </c>
      <c r="AV93" s="23">
        <f>EXP(-LN(2)/25)*AV92+(1-EXP(-LN(2)/25))/(LN(2)/25)*Calculateur!AQ93*Calculateur!AS93*VLOOKUP('Données projet'!$B$10,Paramètres!$A$1:$I$89,3,0)*0.475*44/12</f>
        <v>0.2755804393166808</v>
      </c>
      <c r="AW93" s="23">
        <f>EXP(-LN(2)/2)*AW92+(1-EXP(-LN(2)/2))/(LN(2)/2)*AQ93*AT93*VLOOKUP('Données projet'!$B$10,Paramètres!$A$1:$I$89,3,0)*0.475*44/12</f>
        <v>2.6636266061349575E-9</v>
      </c>
      <c r="AX93" s="23">
        <f t="shared" si="60"/>
        <v>0.84386946106602778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67.75732157576293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1.4255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5.2268333333333334</v>
      </c>
      <c r="H94" s="70">
        <f t="shared" si="56"/>
        <v>222.1695666666667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5.9412741393316544E-14</v>
      </c>
      <c r="P94" s="14">
        <f t="shared" si="87"/>
        <v>9.483138037075782E-13</v>
      </c>
      <c r="Q94" s="22">
        <f t="shared" si="54"/>
        <v>1.7551237327173916E-12</v>
      </c>
      <c r="R94" s="62">
        <f t="shared" si="55"/>
        <v>285.25283245266905</v>
      </c>
      <c r="S94" s="62">
        <f ca="1">AVERAGE(OFFSET($R$3,0,0,'Données projet'!$E$9+1,1))-AVERAGE(OFFSET($H$3,0,0,'Données projet'!$E$9+1,1))</f>
        <v>326.68822125342342</v>
      </c>
      <c r="T94" s="62">
        <f t="shared" si="88"/>
        <v>332.44447101343894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251.79502399207217</v>
      </c>
      <c r="AO94" s="62">
        <f t="shared" si="90"/>
        <v>353.30085932455904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0.5571452180435249</v>
      </c>
      <c r="AV94" s="23">
        <f>EXP(-LN(2)/25)*AV93+(1-EXP(-LN(2)/25))/(LN(2)/25)*Calculateur!AQ94*Calculateur!AS94*VLOOKUP('Données projet'!$B$10,Paramètres!$A$1:$I$89,3,0)*0.475*44/12</f>
        <v>0.26804467771142071</v>
      </c>
      <c r="AW94" s="23">
        <f>EXP(-LN(2)/2)*AW93+(1-EXP(-LN(2)/2))/(LN(2)/2)*AQ94*AT94*VLOOKUP('Données projet'!$B$10,Paramètres!$A$1:$I$89,3,0)*0.475*44/12</f>
        <v>1.8834684357469375E-9</v>
      </c>
      <c r="AX94" s="23">
        <f t="shared" si="60"/>
        <v>0.82518989763841399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67.796227032545616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1.4255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5.2268333333333334</v>
      </c>
      <c r="H95" s="70">
        <f t="shared" si="56"/>
        <v>222.1695666666667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5.9412741393316544E-14</v>
      </c>
      <c r="P95" s="14">
        <f t="shared" si="87"/>
        <v>9.483138037075782E-13</v>
      </c>
      <c r="Q95" s="22">
        <f t="shared" si="54"/>
        <v>1.7551237327173916E-12</v>
      </c>
      <c r="R95" s="62">
        <f t="shared" si="55"/>
        <v>285.39301107765499</v>
      </c>
      <c r="S95" s="62">
        <f ca="1">AVERAGE(OFFSET($R$3,0,0,'Données projet'!$E$9+1,1))-AVERAGE(OFFSET($H$3,0,0,'Données projet'!$E$9+1,1))</f>
        <v>326.68822125342342</v>
      </c>
      <c r="T95" s="62">
        <f t="shared" si="88"/>
        <v>332.44447101343894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251.79502399207217</v>
      </c>
      <c r="AO95" s="62">
        <f t="shared" si="90"/>
        <v>353.30085932455904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0.54621994014271946</v>
      </c>
      <c r="AV95" s="23">
        <f>EXP(-LN(2)/25)*AV94+(1-EXP(-LN(2)/25))/(LN(2)/25)*Calculateur!AQ95*Calculateur!AS95*VLOOKUP('Données projet'!$B$10,Paramètres!$A$1:$I$89,3,0)*0.475*44/12</f>
        <v>0.26071498190354492</v>
      </c>
      <c r="AW95" s="23">
        <f>EXP(-LN(2)/2)*AW94+(1-EXP(-LN(2)/2))/(LN(2)/2)*AQ95*AT95*VLOOKUP('Données projet'!$B$10,Paramètres!$A$1:$I$89,3,0)*0.475*44/12</f>
        <v>1.3318133030674787E-9</v>
      </c>
      <c r="AX95" s="23">
        <f t="shared" si="60"/>
        <v>0.80693492337807771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67.834457566632693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1.4255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5.2268333333333334</v>
      </c>
      <c r="H96" s="70">
        <f t="shared" si="56"/>
        <v>222.1695666666667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5.9412741393316544E-14</v>
      </c>
      <c r="P96" s="14">
        <f t="shared" si="87"/>
        <v>9.483138037075782E-13</v>
      </c>
      <c r="Q96" s="22">
        <f t="shared" si="54"/>
        <v>1.7551237327173916E-12</v>
      </c>
      <c r="R96" s="62">
        <f t="shared" si="55"/>
        <v>285.53075791688991</v>
      </c>
      <c r="S96" s="62">
        <f ca="1">AVERAGE(OFFSET($R$3,0,0,'Données projet'!$E$9+1,1))-AVERAGE(OFFSET($H$3,0,0,'Données projet'!$E$9+1,1))</f>
        <v>326.68822125342342</v>
      </c>
      <c r="T96" s="62">
        <f t="shared" si="88"/>
        <v>332.44447101343894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251.79502399207217</v>
      </c>
      <c r="AO96" s="62">
        <f t="shared" si="90"/>
        <v>353.30085932455904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0.5355089002777873</v>
      </c>
      <c r="AV96" s="23">
        <f>EXP(-LN(2)/25)*AV95+(1-EXP(-LN(2)/25))/(LN(2)/25)*Calculateur!AQ96*Calculateur!AS96*VLOOKUP('Données projet'!$B$10,Paramètres!$A$1:$I$89,3,0)*0.475*44/12</f>
        <v>0.25358571701298743</v>
      </c>
      <c r="AW96" s="23">
        <f>EXP(-LN(2)/2)*AW95+(1-EXP(-LN(2)/2))/(LN(2)/2)*AQ96*AT96*VLOOKUP('Données projet'!$B$10,Paramètres!$A$1:$I$89,3,0)*0.475*44/12</f>
        <v>9.4173421787346877E-10</v>
      </c>
      <c r="AX96" s="23">
        <f t="shared" si="60"/>
        <v>0.78909461823250893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67.872024886424043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1.4255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5.2268333333333334</v>
      </c>
      <c r="H97" s="70">
        <f t="shared" si="56"/>
        <v>222.1695666666667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5.9412741393316544E-14</v>
      </c>
      <c r="P97" s="14">
        <f t="shared" si="87"/>
        <v>9.483138037075782E-13</v>
      </c>
      <c r="Q97" s="22">
        <f t="shared" si="54"/>
        <v>1.7551237327173916E-12</v>
      </c>
      <c r="R97" s="62">
        <f t="shared" si="55"/>
        <v>285.66611515641989</v>
      </c>
      <c r="S97" s="62">
        <f ca="1">AVERAGE(OFFSET($R$3,0,0,'Données projet'!$E$9+1,1))-AVERAGE(OFFSET($H$3,0,0,'Données projet'!$E$9+1,1))</f>
        <v>326.68822125342342</v>
      </c>
      <c r="T97" s="62">
        <f t="shared" si="88"/>
        <v>332.44447101343894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251.79502399207217</v>
      </c>
      <c r="AO97" s="62">
        <f t="shared" si="90"/>
        <v>353.30085932455904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0.52500789737151721</v>
      </c>
      <c r="AV97" s="23">
        <f>EXP(-LN(2)/25)*AV96+(1-EXP(-LN(2)/25))/(LN(2)/25)*Calculateur!AQ97*Calculateur!AS97*VLOOKUP('Données projet'!$B$10,Paramètres!$A$1:$I$89,3,0)*0.475*44/12</f>
        <v>0.246651402245774</v>
      </c>
      <c r="AW97" s="23">
        <f>EXP(-LN(2)/2)*AW96+(1-EXP(-LN(2)/2))/(LN(2)/2)*AQ97*AT97*VLOOKUP('Données projet'!$B$10,Paramètres!$A$1:$I$89,3,0)*0.475*44/12</f>
        <v>6.6590665153373937E-10</v>
      </c>
      <c r="AX97" s="23">
        <f t="shared" si="60"/>
        <v>0.77165930028319785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67.908940497204952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1.4255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5.2268333333333334</v>
      </c>
      <c r="H98" s="70">
        <f t="shared" si="56"/>
        <v>222.1695666666667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5.9412741393316544E-14</v>
      </c>
      <c r="P98" s="14">
        <f t="shared" si="87"/>
        <v>9.483138037075782E-13</v>
      </c>
      <c r="Q98" s="22">
        <f t="shared" si="54"/>
        <v>1.7551237327173916E-12</v>
      </c>
      <c r="R98" s="62">
        <f t="shared" si="55"/>
        <v>285.79912425045751</v>
      </c>
      <c r="S98" s="62">
        <f ca="1">AVERAGE(OFFSET($R$3,0,0,'Données projet'!$E$9+1,1))-AVERAGE(OFFSET($H$3,0,0,'Données projet'!$E$9+1,1))</f>
        <v>326.68822125342342</v>
      </c>
      <c r="T98" s="62">
        <f t="shared" si="88"/>
        <v>332.44447101343894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251.79502399207217</v>
      </c>
      <c r="AO98" s="62">
        <f t="shared" si="90"/>
        <v>353.30085932455904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0.51471281272725977</v>
      </c>
      <c r="AV98" s="23">
        <f>EXP(-LN(2)/25)*AV97+(1-EXP(-LN(2)/25))/(LN(2)/25)*Calculateur!AQ98*Calculateur!AS98*VLOOKUP('Données projet'!$B$10,Paramètres!$A$1:$I$89,3,0)*0.475*44/12</f>
        <v>0.2399067066805298</v>
      </c>
      <c r="AW98" s="23">
        <f>EXP(-LN(2)/2)*AW97+(1-EXP(-LN(2)/2))/(LN(2)/2)*AQ98*AT98*VLOOKUP('Données projet'!$B$10,Paramètres!$A$1:$I$89,3,0)*0.475*44/12</f>
        <v>4.7086710893673439E-10</v>
      </c>
      <c r="AX98" s="23">
        <f t="shared" si="60"/>
        <v>0.75461951987865672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67.945215704669749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1.4255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5.2268333333333334</v>
      </c>
      <c r="H99" s="70">
        <f t="shared" si="56"/>
        <v>222.1695666666667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5.9412741393316544E-14</v>
      </c>
      <c r="P99" s="14">
        <f t="shared" si="87"/>
        <v>9.483138037075782E-13</v>
      </c>
      <c r="Q99" s="22">
        <f t="shared" ref="Q99:Q130" si="107">(O99+P99)*0.475*44/12</f>
        <v>1.7551237327173916E-12</v>
      </c>
      <c r="R99" s="62">
        <f t="shared" si="55"/>
        <v>285.92982593407731</v>
      </c>
      <c r="S99" s="62">
        <f ca="1">AVERAGE(OFFSET($R$3,0,0,'Données projet'!$E$9+1,1))-AVERAGE(OFFSET($H$3,0,0,'Données projet'!$E$9+1,1))</f>
        <v>326.68822125342342</v>
      </c>
      <c r="T99" s="62">
        <f t="shared" si="88"/>
        <v>332.44447101343894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251.79502399207217</v>
      </c>
      <c r="AO99" s="62">
        <f t="shared" si="90"/>
        <v>353.30085932455904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0.50461960841349462</v>
      </c>
      <c r="AV99" s="23">
        <f>EXP(-LN(2)/25)*AV98+(1-EXP(-LN(2)/25))/(LN(2)/25)*Calculateur!AQ99*Calculateur!AS99*VLOOKUP('Données projet'!$B$10,Paramètres!$A$1:$I$89,3,0)*0.475*44/12</f>
        <v>0.23334644517020531</v>
      </c>
      <c r="AW99" s="23">
        <f>EXP(-LN(2)/2)*AW98+(1-EXP(-LN(2)/2))/(LN(2)/2)*AQ99*AT99*VLOOKUP('Données projet'!$B$10,Paramètres!$A$1:$I$89,3,0)*0.475*44/12</f>
        <v>3.3295332576686968E-10</v>
      </c>
      <c r="AX99" s="23">
        <f t="shared" si="60"/>
        <v>0.73796605391665326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67.980861618384239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1.4255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5.2268333333333334</v>
      </c>
      <c r="H100" s="70">
        <f t="shared" si="56"/>
        <v>222.1695666666667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5.9412741393316544E-14</v>
      </c>
      <c r="P100" s="14">
        <f t="shared" si="87"/>
        <v>9.483138037075782E-13</v>
      </c>
      <c r="Q100" s="22">
        <f t="shared" si="107"/>
        <v>1.7551237327173916E-12</v>
      </c>
      <c r="R100" s="62">
        <f t="shared" si="55"/>
        <v>286.05826023569153</v>
      </c>
      <c r="S100" s="62">
        <f ca="1">AVERAGE(OFFSET($R$3,0,0,'Données projet'!$E$9+1,1))-AVERAGE(OFFSET($H$3,0,0,'Données projet'!$E$9+1,1))</f>
        <v>326.68822125342342</v>
      </c>
      <c r="T100" s="62">
        <f t="shared" si="88"/>
        <v>332.44447101343894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251.79502399207217</v>
      </c>
      <c r="AO100" s="62">
        <f t="shared" si="90"/>
        <v>353.30085932455904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0.49472432568007563</v>
      </c>
      <c r="AV100" s="23">
        <f>EXP(-LN(2)/25)*AV99+(1-EXP(-LN(2)/25))/(LN(2)/25)*Calculateur!AQ100*Calculateur!AS100*VLOOKUP('Données projet'!$B$10,Paramètres!$A$1:$I$89,3,0)*0.475*44/12</f>
        <v>0.22696557435586981</v>
      </c>
      <c r="AW100" s="23">
        <f>EXP(-LN(2)/2)*AW99+(1-EXP(-LN(2)/2))/(LN(2)/2)*AQ100*AT100*VLOOKUP('Données projet'!$B$10,Paramètres!$A$1:$I$89,3,0)*0.475*44/12</f>
        <v>2.3543355446836719E-10</v>
      </c>
      <c r="AX100" s="23">
        <f t="shared" si="60"/>
        <v>0.72168990027137903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68.01588915518812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1.4255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5.2268333333333334</v>
      </c>
      <c r="H101" s="70">
        <f t="shared" si="56"/>
        <v>222.1695666666667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5.9412741393316544E-14</v>
      </c>
      <c r="P101" s="14">
        <f t="shared" si="87"/>
        <v>9.483138037075782E-13</v>
      </c>
      <c r="Q101" s="22">
        <f t="shared" si="107"/>
        <v>1.7551237327173916E-12</v>
      </c>
      <c r="R101" s="62">
        <f t="shared" si="55"/>
        <v>286.18446648930882</v>
      </c>
      <c r="S101" s="62">
        <f ca="1">AVERAGE(OFFSET($R$3,0,0,'Données projet'!$E$9+1,1))-AVERAGE(OFFSET($H$3,0,0,'Données projet'!$E$9+1,1))</f>
        <v>326.68822125342342</v>
      </c>
      <c r="T101" s="62">
        <f t="shared" si="88"/>
        <v>332.44447101343894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251.79502399207217</v>
      </c>
      <c r="AO101" s="62">
        <f t="shared" si="90"/>
        <v>353.30085932455904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0.48502308340553246</v>
      </c>
      <c r="AV101" s="23">
        <f>EXP(-LN(2)/25)*AV100+(1-EXP(-LN(2)/25))/(LN(2)/25)*Calculateur!AQ101*Calculateur!AS101*VLOOKUP('Données projet'!$B$10,Paramètres!$A$1:$I$89,3,0)*0.475*44/12</f>
        <v>0.22075918878950773</v>
      </c>
      <c r="AW101" s="23">
        <f>EXP(-LN(2)/2)*AW100+(1-EXP(-LN(2)/2))/(LN(2)/2)*AQ101*AT101*VLOOKUP('Données projet'!$B$10,Paramètres!$A$1:$I$89,3,0)*0.475*44/12</f>
        <v>1.6647666288343484E-10</v>
      </c>
      <c r="AX101" s="23">
        <f t="shared" si="60"/>
        <v>0.7057822723615168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68.050309042538288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1.4255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5.2268333333333334</v>
      </c>
      <c r="H102" s="70">
        <f t="shared" si="56"/>
        <v>222.1695666666667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5.9412741393316544E-14</v>
      </c>
      <c r="P102" s="14">
        <f t="shared" si="87"/>
        <v>9.483138037075782E-13</v>
      </c>
      <c r="Q102" s="22">
        <f t="shared" si="107"/>
        <v>1.7551237327173916E-12</v>
      </c>
      <c r="R102" s="62">
        <f t="shared" si="55"/>
        <v>286.30848334658077</v>
      </c>
      <c r="S102" s="62">
        <f ca="1">AVERAGE(OFFSET($R$3,0,0,'Données projet'!$E$9+1,1))-AVERAGE(OFFSET($H$3,0,0,'Données projet'!$E$9+1,1))</f>
        <v>326.68822125342342</v>
      </c>
      <c r="T102" s="62">
        <f t="shared" si="88"/>
        <v>332.44447101343894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251.79502399207217</v>
      </c>
      <c r="AO102" s="62">
        <f t="shared" si="90"/>
        <v>353.30085932455904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0.47551207657481959</v>
      </c>
      <c r="AV102" s="23">
        <f>EXP(-LN(2)/25)*AV101+(1-EXP(-LN(2)/25))/(LN(2)/25)*Calculateur!AQ102*Calculateur!AS102*VLOOKUP('Données projet'!$B$10,Paramètres!$A$1:$I$89,3,0)*0.475*44/12</f>
        <v>0.21472251716283747</v>
      </c>
      <c r="AW102" s="23">
        <f>EXP(-LN(2)/2)*AW101+(1-EXP(-LN(2)/2))/(LN(2)/2)*AQ102*AT102*VLOOKUP('Données projet'!$B$10,Paramètres!$A$1:$I$89,3,0)*0.475*44/12</f>
        <v>1.177167772341836E-10</v>
      </c>
      <c r="AX102" s="23">
        <f t="shared" si="60"/>
        <v>0.69023459385537378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68.084131821794273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1.4255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5.2268333333333334</v>
      </c>
      <c r="H103" s="70">
        <f t="shared" si="56"/>
        <v>222.1695666666667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5.9412741393316544E-14</v>
      </c>
      <c r="P103" s="14">
        <f t="shared" si="87"/>
        <v>9.483138037075782E-13</v>
      </c>
      <c r="Q103" s="22">
        <f t="shared" si="107"/>
        <v>1.7551237327173916E-12</v>
      </c>
      <c r="R103" s="62">
        <f t="shared" si="55"/>
        <v>286.43034878863921</v>
      </c>
      <c r="S103" s="62">
        <f ca="1">AVERAGE(OFFSET($R$3,0,0,'Données projet'!$E$9+1,1))-AVERAGE(OFFSET($H$3,0,0,'Données projet'!$E$9+1,1))</f>
        <v>326.68822125342342</v>
      </c>
      <c r="T103" s="62">
        <f t="shared" si="88"/>
        <v>332.44447101343894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251.79502399207217</v>
      </c>
      <c r="AO103" s="62">
        <f t="shared" si="90"/>
        <v>353.30085932455904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0.46618757478691564</v>
      </c>
      <c r="AV103" s="23">
        <f>EXP(-LN(2)/25)*AV102+(1-EXP(-LN(2)/25))/(LN(2)/25)*Calculateur!AQ103*Calculateur!AS103*VLOOKUP('Données projet'!$B$10,Paramètres!$A$1:$I$89,3,0)*0.475*44/12</f>
        <v>0.20885091863925326</v>
      </c>
      <c r="AW103" s="23">
        <f>EXP(-LN(2)/2)*AW102+(1-EXP(-LN(2)/2))/(LN(2)/2)*AQ103*AT103*VLOOKUP('Données projet'!$B$10,Paramètres!$A$1:$I$89,3,0)*0.475*44/12</f>
        <v>8.3238331441717421E-11</v>
      </c>
      <c r="AX103" s="23">
        <f t="shared" si="60"/>
        <v>0.67503849350940714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68.117367851446573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1.4255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5.2268333333333334</v>
      </c>
      <c r="H104" s="70">
        <f t="shared" si="56"/>
        <v>222.1695666666667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5.9412741393316544E-14</v>
      </c>
      <c r="P104" s="14">
        <f t="shared" si="87"/>
        <v>9.483138037075782E-13</v>
      </c>
      <c r="Q104" s="22">
        <f t="shared" si="107"/>
        <v>1.7551237327173916E-12</v>
      </c>
      <c r="R104" s="62">
        <f t="shared" si="55"/>
        <v>286.55010013772824</v>
      </c>
      <c r="S104" s="62">
        <f ca="1">AVERAGE(OFFSET($R$3,0,0,'Données projet'!$E$9+1,1))-AVERAGE(OFFSET($H$3,0,0,'Données projet'!$E$9+1,1))</f>
        <v>326.68822125342342</v>
      </c>
      <c r="T104" s="62">
        <f t="shared" si="88"/>
        <v>332.44447101343894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251.79502399207217</v>
      </c>
      <c r="AO104" s="62">
        <f t="shared" si="90"/>
        <v>353.30085932455904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0.45704592079168799</v>
      </c>
      <c r="AV104" s="23">
        <f>EXP(-LN(2)/25)*AV103+(1-EXP(-LN(2)/25))/(LN(2)/25)*Calculateur!AQ104*Calculateur!AS104*VLOOKUP('Données projet'!$B$10,Paramètres!$A$1:$I$89,3,0)*0.475*44/12</f>
        <v>0.20313987928607041</v>
      </c>
      <c r="AW104" s="23">
        <f>EXP(-LN(2)/2)*AW103+(1-EXP(-LN(2)/2))/(LN(2)/2)*AQ104*AT104*VLOOKUP('Données projet'!$B$10,Paramètres!$A$1:$I$89,3,0)*0.475*44/12</f>
        <v>5.8858388617091798E-11</v>
      </c>
      <c r="AX104" s="23">
        <f t="shared" si="60"/>
        <v>0.66018580013661676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68.150027310289033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1.4255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5.2268333333333334</v>
      </c>
      <c r="H105" s="70">
        <f t="shared" si="56"/>
        <v>222.1695666666667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5.9412741393316544E-14</v>
      </c>
      <c r="P105" s="14">
        <f t="shared" si="87"/>
        <v>9.483138037075782E-13</v>
      </c>
      <c r="Q105" s="22">
        <f t="shared" si="107"/>
        <v>1.7551237327173916E-12</v>
      </c>
      <c r="R105" s="62">
        <f t="shared" si="55"/>
        <v>286.66777406863446</v>
      </c>
      <c r="S105" s="62">
        <f ca="1">AVERAGE(OFFSET($R$3,0,0,'Données projet'!$E$9+1,1))-AVERAGE(OFFSET($H$3,0,0,'Données projet'!$E$9+1,1))</f>
        <v>326.68822125342342</v>
      </c>
      <c r="T105" s="62">
        <f t="shared" si="88"/>
        <v>332.44447101343894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251.79502399207217</v>
      </c>
      <c r="AO105" s="62">
        <f t="shared" si="90"/>
        <v>353.30085932455904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0.44808352905544835</v>
      </c>
      <c r="AV105" s="23">
        <f>EXP(-LN(2)/25)*AV104+(1-EXP(-LN(2)/25))/(LN(2)/25)*Calculateur!AQ105*Calculateur!AS105*VLOOKUP('Données projet'!$B$10,Paramètres!$A$1:$I$89,3,0)*0.475*44/12</f>
        <v>0.19758500860433084</v>
      </c>
      <c r="AW105" s="23">
        <f>EXP(-LN(2)/2)*AW104+(1-EXP(-LN(2)/2))/(LN(2)/2)*AQ105*AT105*VLOOKUP('Données projet'!$B$10,Paramètres!$A$1:$I$89,3,0)*0.475*44/12</f>
        <v>4.161916572085871E-11</v>
      </c>
      <c r="AX105" s="23">
        <f t="shared" si="60"/>
        <v>0.64566853770139832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68.18212020053619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1.4255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5.2268333333333334</v>
      </c>
      <c r="H106" s="70">
        <f t="shared" si="56"/>
        <v>222.1695666666667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5.9412741393316544E-14</v>
      </c>
      <c r="P106" s="14">
        <f t="shared" si="87"/>
        <v>9.483138037075782E-13</v>
      </c>
      <c r="Q106" s="22">
        <f t="shared" si="107"/>
        <v>1.7551237327173916E-12</v>
      </c>
      <c r="R106" s="62">
        <f t="shared" si="55"/>
        <v>286.78340661991899</v>
      </c>
      <c r="S106" s="62">
        <f ca="1">AVERAGE(OFFSET($R$3,0,0,'Données projet'!$E$9+1,1))-AVERAGE(OFFSET($H$3,0,0,'Données projet'!$E$9+1,1))</f>
        <v>326.68822125342342</v>
      </c>
      <c r="T106" s="62">
        <f t="shared" si="88"/>
        <v>332.44447101343894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251.79502399207217</v>
      </c>
      <c r="AO106" s="62">
        <f t="shared" si="90"/>
        <v>353.30085932455904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0.43929688435463721</v>
      </c>
      <c r="AV106" s="23">
        <f>EXP(-LN(2)/25)*AV105+(1-EXP(-LN(2)/25))/(LN(2)/25)*Calculateur!AQ106*Calculateur!AS106*VLOOKUP('Données projet'!$B$10,Paramètres!$A$1:$I$89,3,0)*0.475*44/12</f>
        <v>0.19218203615350141</v>
      </c>
      <c r="AW106" s="23">
        <f>EXP(-LN(2)/2)*AW105+(1-EXP(-LN(2)/2))/(LN(2)/2)*AQ106*AT106*VLOOKUP('Données projet'!$B$10,Paramètres!$A$1:$I$89,3,0)*0.475*44/12</f>
        <v>2.9429194308545899E-11</v>
      </c>
      <c r="AX106" s="23">
        <f t="shared" si="60"/>
        <v>0.63147892053756782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68.213656350886509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1.4255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5.2268333333333334</v>
      </c>
      <c r="H107" s="70">
        <f t="shared" si="56"/>
        <v>222.1695666666667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5.9412741393316544E-14</v>
      </c>
      <c r="P107" s="14">
        <f t="shared" si="87"/>
        <v>9.483138037075782E-13</v>
      </c>
      <c r="Q107" s="22">
        <f t="shared" si="107"/>
        <v>1.7551237327173916E-12</v>
      </c>
      <c r="R107" s="62">
        <f t="shared" si="55"/>
        <v>286.89703320495437</v>
      </c>
      <c r="S107" s="62">
        <f ca="1">AVERAGE(OFFSET($R$3,0,0,'Données projet'!$E$9+1,1))-AVERAGE(OFFSET($H$3,0,0,'Données projet'!$E$9+1,1))</f>
        <v>326.68822125342342</v>
      </c>
      <c r="T107" s="62">
        <f t="shared" si="88"/>
        <v>332.44447101343894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251.79502399207217</v>
      </c>
      <c r="AO107" s="62">
        <f t="shared" si="90"/>
        <v>353.30085932455904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0.43068254039708487</v>
      </c>
      <c r="AV107" s="23">
        <f>EXP(-LN(2)/25)*AV106+(1-EXP(-LN(2)/25))/(LN(2)/25)*Calculateur!AQ107*Calculateur!AS107*VLOOKUP('Données projet'!$B$10,Paramètres!$A$1:$I$89,3,0)*0.475*44/12</f>
        <v>0.18692680826846986</v>
      </c>
      <c r="AW107" s="23">
        <f>EXP(-LN(2)/2)*AW106+(1-EXP(-LN(2)/2))/(LN(2)/2)*AQ107*AT107*VLOOKUP('Données projet'!$B$10,Paramètres!$A$1:$I$89,3,0)*0.475*44/12</f>
        <v>2.0809582860429355E-11</v>
      </c>
      <c r="AX107" s="23">
        <f t="shared" si="60"/>
        <v>0.6176093486863643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68.244645419532532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1.4255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5.2268333333333334</v>
      </c>
      <c r="H108" s="70">
        <f t="shared" si="56"/>
        <v>222.1695666666667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5.9412741393316544E-14</v>
      </c>
      <c r="P108" s="14">
        <f t="shared" si="87"/>
        <v>9.483138037075782E-13</v>
      </c>
      <c r="Q108" s="22">
        <f t="shared" si="107"/>
        <v>1.7551237327173916E-12</v>
      </c>
      <c r="R108" s="62">
        <f t="shared" si="55"/>
        <v>287.00868862277036</v>
      </c>
      <c r="S108" s="62">
        <f ca="1">AVERAGE(OFFSET($R$3,0,0,'Données projet'!$E$9+1,1))-AVERAGE(OFFSET($H$3,0,0,'Données projet'!$E$9+1,1))</f>
        <v>326.68822125342342</v>
      </c>
      <c r="T108" s="62">
        <f t="shared" si="88"/>
        <v>332.44447101343894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251.79502399207217</v>
      </c>
      <c r="AO108" s="62">
        <f t="shared" si="90"/>
        <v>353.30085932455904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0.42223711847030915</v>
      </c>
      <c r="AV108" s="23">
        <f>EXP(-LN(2)/25)*AV107+(1-EXP(-LN(2)/25))/(LN(2)/25)*Calculateur!AQ108*Calculateur!AS108*VLOOKUP('Données projet'!$B$10,Paramètres!$A$1:$I$89,3,0)*0.475*44/12</f>
        <v>0.18181528486631493</v>
      </c>
      <c r="AW108" s="23">
        <f>EXP(-LN(2)/2)*AW107+(1-EXP(-LN(2)/2))/(LN(2)/2)*AQ108*AT108*VLOOKUP('Données projet'!$B$10,Paramètres!$A$1:$I$89,3,0)*0.475*44/12</f>
        <v>1.471459715427295E-11</v>
      </c>
      <c r="AX108" s="23">
        <f t="shared" si="60"/>
        <v>0.6040524033513387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68.275096897118701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1.4255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5.2268333333333334</v>
      </c>
      <c r="H109" s="70">
        <f t="shared" si="56"/>
        <v>222.1695666666667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5.9412741393316544E-14</v>
      </c>
      <c r="P109" s="14">
        <f t="shared" si="87"/>
        <v>9.483138037075782E-13</v>
      </c>
      <c r="Q109" s="22">
        <f t="shared" si="107"/>
        <v>1.7551237327173916E-12</v>
      </c>
      <c r="R109" s="62">
        <f t="shared" si="55"/>
        <v>287.11840706871135</v>
      </c>
      <c r="S109" s="62">
        <f ca="1">AVERAGE(OFFSET($R$3,0,0,'Données projet'!$E$9+1,1))-AVERAGE(OFFSET($H$3,0,0,'Données projet'!$E$9+1,1))</f>
        <v>326.68822125342342</v>
      </c>
      <c r="T109" s="62">
        <f t="shared" si="88"/>
        <v>332.44447101343894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251.79502399207217</v>
      </c>
      <c r="AO109" s="62">
        <f t="shared" si="90"/>
        <v>353.30085932455904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0.41395730611631876</v>
      </c>
      <c r="AV109" s="23">
        <f>EXP(-LN(2)/25)*AV108+(1-EXP(-LN(2)/25))/(LN(2)/25)*Calculateur!AQ109*Calculateur!AS109*VLOOKUP('Données projet'!$B$10,Paramètres!$A$1:$I$89,3,0)*0.475*44/12</f>
        <v>0.17684353634039526</v>
      </c>
      <c r="AW109" s="23">
        <f>EXP(-LN(2)/2)*AW108+(1-EXP(-LN(2)/2))/(LN(2)/2)*AQ109*AT109*VLOOKUP('Données projet'!$B$10,Paramètres!$A$1:$I$89,3,0)*0.475*44/12</f>
        <v>1.0404791430214678E-11</v>
      </c>
      <c r="AX109" s="23">
        <f t="shared" si="60"/>
        <v>0.59080084246711884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68.305020109648069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1.4255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5.2268333333333334</v>
      </c>
      <c r="H110" s="70">
        <f t="shared" si="56"/>
        <v>222.1695666666667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5.9412741393316544E-14</v>
      </c>
      <c r="P110" s="14">
        <f t="shared" si="87"/>
        <v>9.483138037075782E-13</v>
      </c>
      <c r="Q110" s="22">
        <f t="shared" si="107"/>
        <v>1.7551237327173916E-12</v>
      </c>
      <c r="R110" s="62">
        <f t="shared" si="55"/>
        <v>287.226222144909</v>
      </c>
      <c r="S110" s="62">
        <f ca="1">AVERAGE(OFFSET($R$3,0,0,'Données projet'!$E$9+1,1))-AVERAGE(OFFSET($H$3,0,0,'Données projet'!$E$9+1,1))</f>
        <v>326.68822125342342</v>
      </c>
      <c r="T110" s="62">
        <f t="shared" si="88"/>
        <v>332.44447101343894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251.79502399207217</v>
      </c>
      <c r="AO110" s="62">
        <f t="shared" si="90"/>
        <v>353.30085932455904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0.40583985583240328</v>
      </c>
      <c r="AV110" s="23">
        <f>EXP(-LN(2)/25)*AV109+(1-EXP(-LN(2)/25))/(LN(2)/25)*Calculateur!AQ110*Calculateur!AS110*VLOOKUP('Données projet'!$B$10,Paramètres!$A$1:$I$89,3,0)*0.475*44/12</f>
        <v>0.17200774053936976</v>
      </c>
      <c r="AW110" s="23">
        <f>EXP(-LN(2)/2)*AW109+(1-EXP(-LN(2)/2))/(LN(2)/2)*AQ110*AT110*VLOOKUP('Données projet'!$B$10,Paramètres!$A$1:$I$89,3,0)*0.475*44/12</f>
        <v>7.3572985771364748E-12</v>
      </c>
      <c r="AX110" s="23">
        <f t="shared" si="60"/>
        <v>0.57784759637913041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68.334424221338338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1.4255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5.2268333333333334</v>
      </c>
      <c r="H111" s="70">
        <f t="shared" si="56"/>
        <v>222.1695666666667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5.9412741393316544E-14</v>
      </c>
      <c r="P111" s="14">
        <f t="shared" si="87"/>
        <v>9.483138037075782E-13</v>
      </c>
      <c r="Q111" s="22">
        <f t="shared" si="107"/>
        <v>1.7551237327173916E-12</v>
      </c>
      <c r="R111" s="62">
        <f t="shared" si="55"/>
        <v>287.33216687057302</v>
      </c>
      <c r="S111" s="62">
        <f ca="1">AVERAGE(OFFSET($R$3,0,0,'Données projet'!$E$9+1,1))-AVERAGE(OFFSET($H$3,0,0,'Données projet'!$E$9+1,1))</f>
        <v>326.68822125342342</v>
      </c>
      <c r="T111" s="62">
        <f t="shared" si="88"/>
        <v>332.44447101343894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251.79502399207217</v>
      </c>
      <c r="AO111" s="62">
        <f t="shared" si="90"/>
        <v>353.30085932455904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0.39788158379739957</v>
      </c>
      <c r="AV111" s="23">
        <f>EXP(-LN(2)/25)*AV110+(1-EXP(-LN(2)/25))/(LN(2)/25)*Calculateur!AQ111*Calculateur!AS111*VLOOKUP('Données projet'!$B$10,Paramètres!$A$1:$I$89,3,0)*0.475*44/12</f>
        <v>0.16730417982882675</v>
      </c>
      <c r="AW111" s="23">
        <f>EXP(-LN(2)/2)*AW110+(1-EXP(-LN(2)/2))/(LN(2)/2)*AQ111*AT111*VLOOKUP('Données projet'!$B$10,Paramètres!$A$1:$I$89,3,0)*0.475*44/12</f>
        <v>5.2023957151073388E-12</v>
      </c>
      <c r="AX111" s="23">
        <f t="shared" si="60"/>
        <v>0.56518576363142869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68.36331823742853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1.4255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5.2268333333333334</v>
      </c>
      <c r="H112" s="70">
        <f t="shared" si="56"/>
        <v>222.1695666666667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5.9412741393316544E-14</v>
      </c>
      <c r="P112" s="14">
        <f t="shared" si="87"/>
        <v>9.483138037075782E-13</v>
      </c>
      <c r="Q112" s="22">
        <f t="shared" si="107"/>
        <v>1.7551237327173916E-12</v>
      </c>
      <c r="R112" s="62">
        <f t="shared" si="55"/>
        <v>287.43627369210367</v>
      </c>
      <c r="S112" s="62">
        <f ca="1">AVERAGE(OFFSET($R$3,0,0,'Données projet'!$E$9+1,1))-AVERAGE(OFFSET($H$3,0,0,'Données projet'!$E$9+1,1))</f>
        <v>326.68822125342342</v>
      </c>
      <c r="T112" s="62">
        <f t="shared" si="88"/>
        <v>332.44447101343894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251.79502399207217</v>
      </c>
      <c r="AO112" s="62">
        <f t="shared" si="90"/>
        <v>353.30085932455904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0.39007936862293563</v>
      </c>
      <c r="AV112" s="23">
        <f>EXP(-LN(2)/25)*AV111+(1-EXP(-LN(2)/25))/(LN(2)/25)*Calculateur!AQ112*Calculateur!AS112*VLOOKUP('Données projet'!$B$10,Paramètres!$A$1:$I$89,3,0)*0.475*44/12</f>
        <v>0.16272923823326305</v>
      </c>
      <c r="AW112" s="23">
        <f>EXP(-LN(2)/2)*AW111+(1-EXP(-LN(2)/2))/(LN(2)/2)*AQ112*AT112*VLOOKUP('Données projet'!$B$10,Paramètres!$A$1:$I$89,3,0)*0.475*44/12</f>
        <v>3.6786492885682374E-12</v>
      </c>
      <c r="AX112" s="23">
        <f t="shared" si="60"/>
        <v>0.55280860685987732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68.391711006936887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1.4255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5.2268333333333334</v>
      </c>
      <c r="H113" s="70">
        <f t="shared" si="56"/>
        <v>222.1695666666667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5.9412741393316544E-14</v>
      </c>
      <c r="P113" s="14">
        <f t="shared" si="87"/>
        <v>9.483138037075782E-13</v>
      </c>
      <c r="Q113" s="22">
        <f t="shared" si="107"/>
        <v>1.7551237327173916E-12</v>
      </c>
      <c r="R113" s="62">
        <f t="shared" si="55"/>
        <v>287.53857449302876</v>
      </c>
      <c r="S113" s="62">
        <f ca="1">AVERAGE(OFFSET($R$3,0,0,'Données projet'!$E$9+1,1))-AVERAGE(OFFSET($H$3,0,0,'Données projet'!$E$9+1,1))</f>
        <v>326.68822125342342</v>
      </c>
      <c r="T113" s="62">
        <f t="shared" si="88"/>
        <v>332.44447101343894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251.79502399207217</v>
      </c>
      <c r="AO113" s="62">
        <f t="shared" si="90"/>
        <v>353.30085932455904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0.38243015012916159</v>
      </c>
      <c r="AV113" s="23">
        <f>EXP(-LN(2)/25)*AV112+(1-EXP(-LN(2)/25))/(LN(2)/25)*Calculateur!AQ113*Calculateur!AS113*VLOOKUP('Données projet'!$B$10,Paramètres!$A$1:$I$89,3,0)*0.475*44/12</f>
        <v>0.15827939865621576</v>
      </c>
      <c r="AW113" s="23">
        <f>EXP(-LN(2)/2)*AW112+(1-EXP(-LN(2)/2))/(LN(2)/2)*AQ113*AT113*VLOOKUP('Données projet'!$B$10,Paramètres!$A$1:$I$89,3,0)*0.475*44/12</f>
        <v>2.6011978575536694E-12</v>
      </c>
      <c r="AX113" s="23">
        <f t="shared" si="60"/>
        <v>0.54070954878797861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68.419611225371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1.4255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5.2268333333333334</v>
      </c>
      <c r="H114" s="70">
        <f t="shared" si="56"/>
        <v>222.1695666666667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5.9412741393316544E-14</v>
      </c>
      <c r="P114" s="14">
        <f t="shared" si="87"/>
        <v>9.483138037075782E-13</v>
      </c>
      <c r="Q114" s="22">
        <f t="shared" si="107"/>
        <v>1.7551237327173916E-12</v>
      </c>
      <c r="R114" s="62">
        <f t="shared" si="55"/>
        <v>287.63910060376816</v>
      </c>
      <c r="S114" s="62">
        <f ca="1">AVERAGE(OFFSET($R$3,0,0,'Données projet'!$E$9+1,1))-AVERAGE(OFFSET($H$3,0,0,'Données projet'!$E$9+1,1))</f>
        <v>326.68822125342342</v>
      </c>
      <c r="T114" s="62">
        <f t="shared" si="88"/>
        <v>332.44447101343894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251.79502399207217</v>
      </c>
      <c r="AO114" s="62">
        <f t="shared" si="90"/>
        <v>353.30085932455904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0.37493092814448786</v>
      </c>
      <c r="AV114" s="23">
        <f>EXP(-LN(2)/25)*AV113+(1-EXP(-LN(2)/25))/(LN(2)/25)*Calculateur!AQ114*Calculateur!AS114*VLOOKUP('Données projet'!$B$10,Paramètres!$A$1:$I$89,3,0)*0.475*44/12</f>
        <v>0.15395124017640971</v>
      </c>
      <c r="AW114" s="23">
        <f>EXP(-LN(2)/2)*AW113+(1-EXP(-LN(2)/2))/(LN(2)/2)*AQ114*AT114*VLOOKUP('Données projet'!$B$10,Paramètres!$A$1:$I$89,3,0)*0.475*44/12</f>
        <v>1.8393246442841187E-12</v>
      </c>
      <c r="AX114" s="23">
        <f t="shared" si="60"/>
        <v>0.52888216832273682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68.44702743739083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1.4255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5.2268333333333334</v>
      </c>
      <c r="H115" s="70">
        <f t="shared" si="56"/>
        <v>222.1695666666667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5.9412741393316544E-14</v>
      </c>
      <c r="P115" s="14">
        <f t="shared" si="87"/>
        <v>9.483138037075782E-13</v>
      </c>
      <c r="Q115" s="22">
        <f t="shared" si="107"/>
        <v>1.7551237327173916E-12</v>
      </c>
      <c r="R115" s="62">
        <f t="shared" si="55"/>
        <v>287.73788281122893</v>
      </c>
      <c r="S115" s="62">
        <f ca="1">AVERAGE(OFFSET($R$3,0,0,'Données projet'!$E$9+1,1))-AVERAGE(OFFSET($H$3,0,0,'Données projet'!$E$9+1,1))</f>
        <v>326.68822125342342</v>
      </c>
      <c r="T115" s="62">
        <f t="shared" si="88"/>
        <v>332.44447101343894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251.79502399207217</v>
      </c>
      <c r="AO115" s="62">
        <f t="shared" si="90"/>
        <v>353.30085932455904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0.3675787613288598</v>
      </c>
      <c r="AV115" s="23">
        <f>EXP(-LN(2)/25)*AV114+(1-EXP(-LN(2)/25))/(LN(2)/25)*Calculateur!AQ115*Calculateur!AS115*VLOOKUP('Données projet'!$B$10,Paramètres!$A$1:$I$89,3,0)*0.475*44/12</f>
        <v>0.14974143541784193</v>
      </c>
      <c r="AW115" s="23">
        <f>EXP(-LN(2)/2)*AW114+(1-EXP(-LN(2)/2))/(LN(2)/2)*AQ115*AT115*VLOOKUP('Données projet'!$B$10,Paramètres!$A$1:$I$89,3,0)*0.475*44/12</f>
        <v>1.3005989287768347E-12</v>
      </c>
      <c r="AX115" s="23">
        <f t="shared" si="60"/>
        <v>0.51732019674800234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68.473968039425586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1.4255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5.2268333333333334</v>
      </c>
      <c r="H116" s="70">
        <f t="shared" si="56"/>
        <v>222.1695666666667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5.9412741393316544E-14</v>
      </c>
      <c r="P116" s="14">
        <f t="shared" si="87"/>
        <v>9.483138037075782E-13</v>
      </c>
      <c r="Q116" s="22">
        <f t="shared" si="107"/>
        <v>1.7551237327173916E-12</v>
      </c>
      <c r="R116" s="62">
        <f t="shared" si="55"/>
        <v>287.8349513682341</v>
      </c>
      <c r="S116" s="62">
        <f ca="1">AVERAGE(OFFSET($R$3,0,0,'Données projet'!$E$9+1,1))-AVERAGE(OFFSET($H$3,0,0,'Données projet'!$E$9+1,1))</f>
        <v>326.68822125342342</v>
      </c>
      <c r="T116" s="62">
        <f t="shared" si="88"/>
        <v>332.44447101343894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251.79502399207217</v>
      </c>
      <c r="AO116" s="62">
        <f t="shared" si="90"/>
        <v>353.30085932455904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0.36037076602010726</v>
      </c>
      <c r="AV116" s="23">
        <f>EXP(-LN(2)/25)*AV115+(1-EXP(-LN(2)/25))/(LN(2)/25)*Calculateur!AQ116*Calculateur!AS116*VLOOKUP('Données projet'!$B$10,Paramètres!$A$1:$I$89,3,0)*0.475*44/12</f>
        <v>0.14564674799178121</v>
      </c>
      <c r="AW116" s="23">
        <f>EXP(-LN(2)/2)*AW115+(1-EXP(-LN(2)/2))/(LN(2)/2)*AQ116*AT116*VLOOKUP('Données projet'!$B$10,Paramètres!$A$1:$I$89,3,0)*0.475*44/12</f>
        <v>9.1966232214205935E-13</v>
      </c>
      <c r="AX116" s="23">
        <f t="shared" si="60"/>
        <v>0.50601751401280815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68.500441282245191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1.4255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5.2268333333333334</v>
      </c>
      <c r="H117" s="70">
        <f t="shared" si="56"/>
        <v>222.1695666666667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5.9412741393316544E-14</v>
      </c>
      <c r="P117" s="14">
        <f t="shared" si="87"/>
        <v>9.483138037075782E-13</v>
      </c>
      <c r="Q117" s="22">
        <f t="shared" si="107"/>
        <v>1.7551237327173916E-12</v>
      </c>
      <c r="R117" s="62">
        <f t="shared" si="55"/>
        <v>287.93033600278812</v>
      </c>
      <c r="S117" s="62">
        <f ca="1">AVERAGE(OFFSET($R$3,0,0,'Données projet'!$E$9+1,1))-AVERAGE(OFFSET($H$3,0,0,'Données projet'!$E$9+1,1))</f>
        <v>326.68822125342342</v>
      </c>
      <c r="T117" s="62">
        <f t="shared" si="88"/>
        <v>332.44447101343894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251.79502399207217</v>
      </c>
      <c r="AO117" s="62">
        <f t="shared" si="90"/>
        <v>353.30085932455904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0.35330411510291632</v>
      </c>
      <c r="AV117" s="23">
        <f>EXP(-LN(2)/25)*AV116+(1-EXP(-LN(2)/25))/(LN(2)/25)*Calculateur!AQ117*Calculateur!AS117*VLOOKUP('Données projet'!$B$10,Paramètres!$A$1:$I$89,3,0)*0.475*44/12</f>
        <v>0.14166403000871636</v>
      </c>
      <c r="AW117" s="23">
        <f>EXP(-LN(2)/2)*AW116+(1-EXP(-LN(2)/2))/(LN(2)/2)*AQ117*AT117*VLOOKUP('Données projet'!$B$10,Paramètres!$A$1:$I$89,3,0)*0.475*44/12</f>
        <v>6.5029946438841735E-13</v>
      </c>
      <c r="AX117" s="23">
        <f t="shared" si="60"/>
        <v>0.49496814511228299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68.526455273487187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1.4255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5.2268333333333334</v>
      </c>
      <c r="H118" s="70">
        <f t="shared" si="56"/>
        <v>222.1695666666667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5.9412741393316544E-14</v>
      </c>
      <c r="P118" s="14">
        <f t="shared" si="87"/>
        <v>9.483138037075782E-13</v>
      </c>
      <c r="Q118" s="22">
        <f t="shared" si="107"/>
        <v>1.7551237327173916E-12</v>
      </c>
      <c r="R118" s="62">
        <f t="shared" si="55"/>
        <v>288.02406592718069</v>
      </c>
      <c r="S118" s="62">
        <f ca="1">AVERAGE(OFFSET($R$3,0,0,'Données projet'!$E$9+1,1))-AVERAGE(OFFSET($H$3,0,0,'Données projet'!$E$9+1,1))</f>
        <v>326.68822125342342</v>
      </c>
      <c r="T118" s="62">
        <f t="shared" si="88"/>
        <v>332.44447101343894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251.79502399207217</v>
      </c>
      <c r="AO118" s="62">
        <f t="shared" si="90"/>
        <v>353.30085932455904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0.34637603689998003</v>
      </c>
      <c r="AV118" s="23">
        <f>EXP(-LN(2)/25)*AV117+(1-EXP(-LN(2)/25))/(LN(2)/25)*Calculateur!AQ118*Calculateur!AS118*VLOOKUP('Données projet'!$B$10,Paramètres!$A$1:$I$89,3,0)*0.475*44/12</f>
        <v>0.13779021965834046</v>
      </c>
      <c r="AW118" s="23">
        <f>EXP(-LN(2)/2)*AW117+(1-EXP(-LN(2)/2))/(LN(2)/2)*AQ118*AT118*VLOOKUP('Données projet'!$B$10,Paramètres!$A$1:$I$89,3,0)*0.475*44/12</f>
        <v>4.5983116107102967E-13</v>
      </c>
      <c r="AX118" s="23">
        <f t="shared" si="60"/>
        <v>0.48416625655878032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68.552017980139709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1.4255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5.2268333333333334</v>
      </c>
      <c r="H119" s="70">
        <f t="shared" si="56"/>
        <v>222.1695666666667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5.9412741393316544E-14</v>
      </c>
      <c r="P119" s="14">
        <f t="shared" si="87"/>
        <v>9.483138037075782E-13</v>
      </c>
      <c r="Q119" s="22">
        <f t="shared" si="107"/>
        <v>1.7551237327173916E-12</v>
      </c>
      <c r="R119" s="62">
        <f t="shared" si="55"/>
        <v>288.11616984693381</v>
      </c>
      <c r="S119" s="62">
        <f ca="1">AVERAGE(OFFSET($R$3,0,0,'Données projet'!$E$9+1,1))-AVERAGE(OFFSET($H$3,0,0,'Données projet'!$E$9+1,1))</f>
        <v>326.68822125342342</v>
      </c>
      <c r="T119" s="62">
        <f t="shared" si="88"/>
        <v>332.44447101343894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251.79502399207217</v>
      </c>
      <c r="AO119" s="62">
        <f t="shared" si="90"/>
        <v>353.30085932455904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0.33958381408489291</v>
      </c>
      <c r="AV119" s="23">
        <f>EXP(-LN(2)/25)*AV118+(1-EXP(-LN(2)/25))/(LN(2)/25)*Calculateur!AQ119*Calculateur!AS119*VLOOKUP('Données projet'!$B$10,Paramètres!$A$1:$I$89,3,0)*0.475*44/12</f>
        <v>0.13402233885571041</v>
      </c>
      <c r="AW119" s="23">
        <f>EXP(-LN(2)/2)*AW118+(1-EXP(-LN(2)/2))/(LN(2)/2)*AQ119*AT119*VLOOKUP('Données projet'!$B$10,Paramètres!$A$1:$I$89,3,0)*0.475*44/12</f>
        <v>3.2514973219420867E-13</v>
      </c>
      <c r="AX119" s="23">
        <f t="shared" si="60"/>
        <v>0.47360615294092845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68.577137230981464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1.4255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5.2268333333333334</v>
      </c>
      <c r="H120" s="70">
        <f t="shared" si="56"/>
        <v>222.1695666666667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5.9412741393316544E-14</v>
      </c>
      <c r="P120" s="14">
        <f t="shared" si="87"/>
        <v>9.483138037075782E-13</v>
      </c>
      <c r="Q120" s="22">
        <f t="shared" si="107"/>
        <v>1.7551237327173916E-12</v>
      </c>
      <c r="R120" s="62">
        <f t="shared" si="55"/>
        <v>288.20667596959265</v>
      </c>
      <c r="S120" s="62">
        <f ca="1">AVERAGE(OFFSET($R$3,0,0,'Données projet'!$E$9+1,1))-AVERAGE(OFFSET($H$3,0,0,'Données projet'!$E$9+1,1))</f>
        <v>326.68822125342342</v>
      </c>
      <c r="T120" s="62">
        <f t="shared" si="88"/>
        <v>332.44447101343894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251.79502399207217</v>
      </c>
      <c r="AO120" s="62">
        <f t="shared" si="90"/>
        <v>353.30085932455904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0.33292478261636277</v>
      </c>
      <c r="AV120" s="23">
        <f>EXP(-LN(2)/25)*AV119+(1-EXP(-LN(2)/25))/(LN(2)/25)*Calculateur!AQ120*Calculateur!AS120*VLOOKUP('Données projet'!$B$10,Paramètres!$A$1:$I$89,3,0)*0.475*44/12</f>
        <v>0.13035749095177251</v>
      </c>
      <c r="AW120" s="23">
        <f>EXP(-LN(2)/2)*AW119+(1-EXP(-LN(2)/2))/(LN(2)/2)*AQ120*AT120*VLOOKUP('Données projet'!$B$10,Paramètres!$A$1:$I$89,3,0)*0.475*44/12</f>
        <v>2.2991558053551484E-13</v>
      </c>
      <c r="AX120" s="23">
        <f t="shared" si="60"/>
        <v>0.46328227356836521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68.601820718979326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1.4255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5.2268333333333334</v>
      </c>
      <c r="H121" s="70">
        <f t="shared" si="56"/>
        <v>222.1695666666667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5.9412741393316544E-14</v>
      </c>
      <c r="P121" s="14">
        <f t="shared" si="87"/>
        <v>9.483138037075782E-13</v>
      </c>
      <c r="Q121" s="22">
        <f t="shared" si="107"/>
        <v>1.7551237327173916E-12</v>
      </c>
      <c r="R121" s="62">
        <f t="shared" si="55"/>
        <v>288.2956120133648</v>
      </c>
      <c r="S121" s="62">
        <f ca="1">AVERAGE(OFFSET($R$3,0,0,'Données projet'!$E$9+1,1))-AVERAGE(OFFSET($H$3,0,0,'Données projet'!$E$9+1,1))</f>
        <v>326.68822125342342</v>
      </c>
      <c r="T121" s="62">
        <f t="shared" si="88"/>
        <v>332.44447101343894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251.79502399207217</v>
      </c>
      <c r="AO121" s="62">
        <f t="shared" si="90"/>
        <v>353.30085932455904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0.32639633069332236</v>
      </c>
      <c r="AV121" s="23">
        <f>EXP(-LN(2)/25)*AV120+(1-EXP(-LN(2)/25))/(LN(2)/25)*Calculateur!AQ121*Calculateur!AS121*VLOOKUP('Données projet'!$B$10,Paramètres!$A$1:$I$89,3,0)*0.475*44/12</f>
        <v>0.12679285850649377</v>
      </c>
      <c r="AW121" s="23">
        <f>EXP(-LN(2)/2)*AW120+(1-EXP(-LN(2)/2))/(LN(2)/2)*AQ121*AT121*VLOOKUP('Données projet'!$B$10,Paramètres!$A$1:$I$89,3,0)*0.475*44/12</f>
        <v>1.6257486609710434E-13</v>
      </c>
      <c r="AX121" s="23">
        <f t="shared" si="60"/>
        <v>0.45318918919997869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68.626076003644457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1.4255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5.2268333333333334</v>
      </c>
      <c r="H122" s="70">
        <f t="shared" si="56"/>
        <v>222.1695666666667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5.9412741393316544E-14</v>
      </c>
      <c r="P122" s="14">
        <f t="shared" si="87"/>
        <v>9.483138037075782E-13</v>
      </c>
      <c r="Q122" s="22">
        <f t="shared" si="107"/>
        <v>1.7551237327173916E-12</v>
      </c>
      <c r="R122" s="62">
        <f t="shared" si="55"/>
        <v>288.38300521560859</v>
      </c>
      <c r="S122" s="62">
        <f ca="1">AVERAGE(OFFSET($R$3,0,0,'Données projet'!$E$9+1,1))-AVERAGE(OFFSET($H$3,0,0,'Données projet'!$E$9+1,1))</f>
        <v>326.68822125342342</v>
      </c>
      <c r="T122" s="62">
        <f t="shared" si="88"/>
        <v>332.44447101343894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251.79502399207217</v>
      </c>
      <c r="AO122" s="62">
        <f t="shared" si="90"/>
        <v>353.30085932455904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0.31999589773053028</v>
      </c>
      <c r="AV122" s="23">
        <f>EXP(-LN(2)/25)*AV121+(1-EXP(-LN(2)/25))/(LN(2)/25)*Calculateur!AQ122*Calculateur!AS122*VLOOKUP('Données projet'!$B$10,Paramètres!$A$1:$I$89,3,0)*0.475*44/12</f>
        <v>0.12332570112288706</v>
      </c>
      <c r="AW122" s="23">
        <f>EXP(-LN(2)/2)*AW121+(1-EXP(-LN(2)/2))/(LN(2)/2)*AQ122*AT122*VLOOKUP('Données projet'!$B$10,Paramètres!$A$1:$I$89,3,0)*0.475*44/12</f>
        <v>1.1495779026775742E-13</v>
      </c>
      <c r="AX122" s="23">
        <f t="shared" si="60"/>
        <v>0.44332159885353228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68.649910513347322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1.4255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5.2268333333333334</v>
      </c>
      <c r="H123" s="70">
        <f t="shared" si="56"/>
        <v>222.1695666666667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5.9412741393316544E-14</v>
      </c>
      <c r="P123" s="14">
        <f t="shared" si="87"/>
        <v>9.483138037075782E-13</v>
      </c>
      <c r="Q123" s="22">
        <f t="shared" si="107"/>
        <v>1.7551237327173916E-12</v>
      </c>
      <c r="R123" s="62">
        <f t="shared" si="55"/>
        <v>288.46888234117557</v>
      </c>
      <c r="S123" s="62">
        <f ca="1">AVERAGE(OFFSET($R$3,0,0,'Données projet'!$E$9+1,1))-AVERAGE(OFFSET($H$3,0,0,'Données projet'!$E$9+1,1))</f>
        <v>326.68822125342342</v>
      </c>
      <c r="T123" s="62">
        <f t="shared" si="88"/>
        <v>332.44447101343894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251.79502399207217</v>
      </c>
      <c r="AO123" s="62">
        <f t="shared" si="90"/>
        <v>353.30085932455904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0.31372097335425997</v>
      </c>
      <c r="AV123" s="23">
        <f>EXP(-LN(2)/25)*AV122+(1-EXP(-LN(2)/25))/(LN(2)/25)*Calculateur!AQ123*Calculateur!AS123*VLOOKUP('Données projet'!$B$10,Paramètres!$A$1:$I$89,3,0)*0.475*44/12</f>
        <v>0.11995335334026495</v>
      </c>
      <c r="AW123" s="23">
        <f>EXP(-LN(2)/2)*AW122+(1-EXP(-LN(2)/2))/(LN(2)/2)*AQ123*AT123*VLOOKUP('Données projet'!$B$10,Paramètres!$A$1:$I$89,3,0)*0.475*44/12</f>
        <v>8.1287433048552169E-14</v>
      </c>
      <c r="AX123" s="23">
        <f t="shared" si="60"/>
        <v>0.4336743266946062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68.673331547592852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1.4255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5.2268333333333334</v>
      </c>
      <c r="H124" s="70">
        <f t="shared" si="56"/>
        <v>222.1695666666667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5.9412741393316544E-14</v>
      </c>
      <c r="P124" s="14">
        <f t="shared" si="87"/>
        <v>9.483138037075782E-13</v>
      </c>
      <c r="Q124" s="22">
        <f t="shared" si="107"/>
        <v>1.7551237327173916E-12</v>
      </c>
      <c r="R124" s="62">
        <f t="shared" si="55"/>
        <v>288.55326969060633</v>
      </c>
      <c r="S124" s="62">
        <f ca="1">AVERAGE(OFFSET($R$3,0,0,'Données projet'!$E$9+1,1))-AVERAGE(OFFSET($H$3,0,0,'Données projet'!$E$9+1,1))</f>
        <v>326.68822125342342</v>
      </c>
      <c r="T124" s="62">
        <f t="shared" si="88"/>
        <v>332.44447101343894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251.79502399207217</v>
      </c>
      <c r="AO124" s="62">
        <f t="shared" si="90"/>
        <v>353.30085932455904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0.30756909641768232</v>
      </c>
      <c r="AV124" s="23">
        <f>EXP(-LN(2)/25)*AV123+(1-EXP(-LN(2)/25))/(LN(2)/25)*Calculateur!AQ124*Calculateur!AS124*VLOOKUP('Données projet'!$B$10,Paramètres!$A$1:$I$89,3,0)*0.475*44/12</f>
        <v>0.11667322258510271</v>
      </c>
      <c r="AW124" s="23">
        <f>EXP(-LN(2)/2)*AW123+(1-EXP(-LN(2)/2))/(LN(2)/2)*AQ124*AT124*VLOOKUP('Données projet'!$B$10,Paramètres!$A$1:$I$89,3,0)*0.475*44/12</f>
        <v>5.7478895133878709E-14</v>
      </c>
      <c r="AX124" s="23">
        <f t="shared" si="60"/>
        <v>0.42424231900284248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68.696346279255792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1.4255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5.2268333333333334</v>
      </c>
      <c r="H125" s="70">
        <f t="shared" si="56"/>
        <v>222.1695666666667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5.9412741393316544E-14</v>
      </c>
      <c r="P125" s="14">
        <f t="shared" si="87"/>
        <v>9.483138037075782E-13</v>
      </c>
      <c r="Q125" s="22">
        <f t="shared" si="107"/>
        <v>1.7551237327173916E-12</v>
      </c>
      <c r="R125" s="62">
        <f t="shared" si="55"/>
        <v>288.63619310818632</v>
      </c>
      <c r="S125" s="62">
        <f ca="1">AVERAGE(OFFSET($R$3,0,0,'Données projet'!$E$9+1,1))-AVERAGE(OFFSET($H$3,0,0,'Données projet'!$E$9+1,1))</f>
        <v>326.68822125342342</v>
      </c>
      <c r="T125" s="62">
        <f t="shared" si="88"/>
        <v>332.44447101343894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251.79502399207217</v>
      </c>
      <c r="AO125" s="62">
        <f t="shared" si="90"/>
        <v>353.30085932455904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0.30153785403555655</v>
      </c>
      <c r="AV125" s="23">
        <f>EXP(-LN(2)/25)*AV124+(1-EXP(-LN(2)/25))/(LN(2)/25)*Calculateur!AQ125*Calculateur!AS125*VLOOKUP('Données projet'!$B$10,Paramètres!$A$1:$I$89,3,0)*0.475*44/12</f>
        <v>0.11348278717793496</v>
      </c>
      <c r="AW125" s="23">
        <f>EXP(-LN(2)/2)*AW124+(1-EXP(-LN(2)/2))/(LN(2)/2)*AQ125*AT125*VLOOKUP('Données projet'!$B$10,Paramètres!$A$1:$I$89,3,0)*0.475*44/12</f>
        <v>4.0643716524276084E-14</v>
      </c>
      <c r="AX125" s="23">
        <f t="shared" si="60"/>
        <v>0.41502064121353216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68.718961756777603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1.4255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5.2268333333333334</v>
      </c>
      <c r="H126" s="70">
        <f t="shared" si="56"/>
        <v>222.1695666666667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5.9412741393316544E-14</v>
      </c>
      <c r="P126" s="14">
        <f t="shared" si="87"/>
        <v>9.483138037075782E-13</v>
      </c>
      <c r="Q126" s="22">
        <f t="shared" si="107"/>
        <v>1.7551237327173916E-12</v>
      </c>
      <c r="R126" s="62">
        <f t="shared" si="55"/>
        <v>288.71767798986031</v>
      </c>
      <c r="S126" s="62">
        <f ca="1">AVERAGE(OFFSET($R$3,0,0,'Données projet'!$E$9+1,1))-AVERAGE(OFFSET($H$3,0,0,'Données projet'!$E$9+1,1))</f>
        <v>326.68822125342342</v>
      </c>
      <c r="T126" s="62">
        <f t="shared" si="88"/>
        <v>332.44447101343894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251.79502399207217</v>
      </c>
      <c r="AO126" s="62">
        <f t="shared" si="90"/>
        <v>353.30085932455904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0.29562488063784964</v>
      </c>
      <c r="AV126" s="23">
        <f>EXP(-LN(2)/25)*AV125+(1-EXP(-LN(2)/25))/(LN(2)/25)*Calculateur!AQ126*Calculateur!AS126*VLOOKUP('Données projet'!$B$10,Paramètres!$A$1:$I$89,3,0)*0.475*44/12</f>
        <v>0.11037959439475392</v>
      </c>
      <c r="AW126" s="23">
        <f>EXP(-LN(2)/2)*AW125+(1-EXP(-LN(2)/2))/(LN(2)/2)*AQ126*AT126*VLOOKUP('Données projet'!$B$10,Paramètres!$A$1:$I$89,3,0)*0.475*44/12</f>
        <v>2.8739447566939355E-14</v>
      </c>
      <c r="AX126" s="23">
        <f t="shared" si="60"/>
        <v>0.40600447503263232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68.74118490632506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1.4255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5.2268333333333334</v>
      </c>
      <c r="H127" s="70">
        <f t="shared" si="56"/>
        <v>222.1695666666667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5.9412741393316544E-14</v>
      </c>
      <c r="P127" s="14">
        <f t="shared" si="87"/>
        <v>9.483138037075782E-13</v>
      </c>
      <c r="Q127" s="22">
        <f t="shared" si="107"/>
        <v>1.7551237327173916E-12</v>
      </c>
      <c r="R127" s="62">
        <f t="shared" si="55"/>
        <v>288.79774929101018</v>
      </c>
      <c r="S127" s="62">
        <f ca="1">AVERAGE(OFFSET($R$3,0,0,'Données projet'!$E$9+1,1))-AVERAGE(OFFSET($H$3,0,0,'Données projet'!$E$9+1,1))</f>
        <v>326.68822125342342</v>
      </c>
      <c r="T127" s="62">
        <f t="shared" si="88"/>
        <v>332.44447101343894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251.79502399207217</v>
      </c>
      <c r="AO127" s="62">
        <f t="shared" si="90"/>
        <v>353.30085932455904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0.28982785704191411</v>
      </c>
      <c r="AV127" s="23">
        <f>EXP(-LN(2)/25)*AV126+(1-EXP(-LN(2)/25))/(LN(2)/25)*Calculateur!AQ127*Calculateur!AS127*VLOOKUP('Données projet'!$B$10,Paramètres!$A$1:$I$89,3,0)*0.475*44/12</f>
        <v>0.10736125858141879</v>
      </c>
      <c r="AW127" s="23">
        <f>EXP(-LN(2)/2)*AW126+(1-EXP(-LN(2)/2))/(LN(2)/2)*AQ127*AT127*VLOOKUP('Données projet'!$B$10,Paramètres!$A$1:$I$89,3,0)*0.475*44/12</f>
        <v>2.0321858262138042E-14</v>
      </c>
      <c r="AX127" s="23">
        <f t="shared" si="60"/>
        <v>0.39718911562335324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68.763022533911382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1.4255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5.2268333333333334</v>
      </c>
      <c r="H128" s="70">
        <f t="shared" si="56"/>
        <v>222.1695666666667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5.9412741393316544E-14</v>
      </c>
      <c r="P128" s="14">
        <f t="shared" si="87"/>
        <v>9.483138037075782E-13</v>
      </c>
      <c r="Q128" s="22">
        <f t="shared" si="107"/>
        <v>1.7551237327173916E-12</v>
      </c>
      <c r="R128" s="62">
        <f t="shared" si="55"/>
        <v>288.87643153409766</v>
      </c>
      <c r="S128" s="62">
        <f ca="1">AVERAGE(OFFSET($R$3,0,0,'Données projet'!$E$9+1,1))-AVERAGE(OFFSET($H$3,0,0,'Données projet'!$E$9+1,1))</f>
        <v>326.68822125342342</v>
      </c>
      <c r="T128" s="62">
        <f t="shared" si="88"/>
        <v>332.44447101343894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251.79502399207217</v>
      </c>
      <c r="AO128" s="62">
        <f t="shared" si="90"/>
        <v>353.30085932455904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0.28414450954285964</v>
      </c>
      <c r="AV128" s="23">
        <f>EXP(-LN(2)/25)*AV127+(1-EXP(-LN(2)/25))/(LN(2)/25)*Calculateur!AQ128*Calculateur!AS128*VLOOKUP('Données projet'!$B$10,Paramètres!$A$1:$I$89,3,0)*0.475*44/12</f>
        <v>0.10442545931962668</v>
      </c>
      <c r="AW128" s="23">
        <f>EXP(-LN(2)/2)*AW127+(1-EXP(-LN(2)/2))/(LN(2)/2)*AQ128*AT128*VLOOKUP('Données projet'!$B$10,Paramètres!$A$1:$I$89,3,0)*0.475*44/12</f>
        <v>1.4369723783469677E-14</v>
      </c>
      <c r="AX128" s="23">
        <f t="shared" si="60"/>
        <v>0.38856996886250067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68.784481327480705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1.4255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5.2268333333333334</v>
      </c>
      <c r="H129" s="70">
        <f t="shared" si="56"/>
        <v>222.1695666666667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5.9412741393316544E-14</v>
      </c>
      <c r="P129" s="14">
        <f t="shared" si="87"/>
        <v>9.483138037075782E-13</v>
      </c>
      <c r="Q129" s="22">
        <f t="shared" si="107"/>
        <v>1.7551237327173916E-12</v>
      </c>
      <c r="R129" s="62">
        <f t="shared" si="55"/>
        <v>288.95374881617477</v>
      </c>
      <c r="S129" s="62">
        <f ca="1">AVERAGE(OFFSET($R$3,0,0,'Données projet'!$E$9+1,1))-AVERAGE(OFFSET($H$3,0,0,'Données projet'!$E$9+1,1))</f>
        <v>326.68822125342342</v>
      </c>
      <c r="T129" s="62">
        <f t="shared" si="88"/>
        <v>332.44447101343894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251.79502399207217</v>
      </c>
      <c r="AO129" s="62">
        <f t="shared" si="90"/>
        <v>353.30085932455904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0.27857260902176195</v>
      </c>
      <c r="AV129" s="23">
        <f>EXP(-LN(2)/25)*AV128+(1-EXP(-LN(2)/25))/(LN(2)/25)*Calculateur!AQ129*Calculateur!AS129*VLOOKUP('Données projet'!$B$10,Paramètres!$A$1:$I$89,3,0)*0.475*44/12</f>
        <v>0.10156993964303525</v>
      </c>
      <c r="AW129" s="23">
        <f>EXP(-LN(2)/2)*AW128+(1-EXP(-LN(2)/2))/(LN(2)/2)*AQ129*AT129*VLOOKUP('Données projet'!$B$10,Paramètres!$A$1:$I$89,3,0)*0.475*44/12</f>
        <v>1.0160929131069021E-14</v>
      </c>
      <c r="AX129" s="23">
        <f t="shared" si="60"/>
        <v>0.38014254866480734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68.805567858956266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1.4255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5.2268333333333334</v>
      </c>
      <c r="H130" s="70">
        <f t="shared" si="56"/>
        <v>222.1695666666667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5.9412741393316544E-14</v>
      </c>
      <c r="P130" s="14">
        <f t="shared" si="87"/>
        <v>9.483138037075782E-13</v>
      </c>
      <c r="Q130" s="22">
        <f t="shared" si="107"/>
        <v>1.7551237327173916E-12</v>
      </c>
      <c r="R130" s="62">
        <f t="shared" si="55"/>
        <v>289.0297248162633</v>
      </c>
      <c r="S130" s="62">
        <f ca="1">AVERAGE(OFFSET($R$3,0,0,'Données projet'!$E$9+1,1))-AVERAGE(OFFSET($H$3,0,0,'Données projet'!$E$9+1,1))</f>
        <v>326.68822125342342</v>
      </c>
      <c r="T130" s="62">
        <f t="shared" si="88"/>
        <v>332.44447101343894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251.79502399207217</v>
      </c>
      <c r="AO130" s="62">
        <f t="shared" si="90"/>
        <v>353.30085932455904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0.27310997007135923</v>
      </c>
      <c r="AV130" s="23">
        <f>EXP(-LN(2)/25)*AV129+(1-EXP(-LN(2)/25))/(LN(2)/25)*Calculateur!AQ130*Calculateur!AS130*VLOOKUP('Données projet'!$B$10,Paramètres!$A$1:$I$89,3,0)*0.475*44/12</f>
        <v>9.8792504302165463E-2</v>
      </c>
      <c r="AW130" s="23">
        <f>EXP(-LN(2)/2)*AW129+(1-EXP(-LN(2)/2))/(LN(2)/2)*AQ130*AT130*VLOOKUP('Données projet'!$B$10,Paramètres!$A$1:$I$89,3,0)*0.475*44/12</f>
        <v>7.1848618917348387E-15</v>
      </c>
      <c r="AX130" s="23">
        <f t="shared" si="60"/>
        <v>0.37190247437353186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68.826288586253156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1.4255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5.2268333333333334</v>
      </c>
      <c r="H131" s="70">
        <f t="shared" si="56"/>
        <v>222.1695666666667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5.9412741393316544E-14</v>
      </c>
      <c r="P131" s="14">
        <f t="shared" si="87"/>
        <v>9.483138037075782E-13</v>
      </c>
      <c r="Q131" s="22">
        <f t="shared" ref="Q131:Q153" si="108">(O131+P131)*0.475*44/12</f>
        <v>1.7551237327173916E-12</v>
      </c>
      <c r="R131" s="62">
        <f t="shared" ref="R131:R194" si="109">Q131+(I131+J131)*44/12</f>
        <v>289.10438280260723</v>
      </c>
      <c r="S131" s="62">
        <f ca="1">AVERAGE(OFFSET($R$3,0,0,'Données projet'!$E$9+1,1))-AVERAGE(OFFSET($H$3,0,0,'Données projet'!$E$9+1,1))</f>
        <v>326.68822125342342</v>
      </c>
      <c r="T131" s="62">
        <f t="shared" si="88"/>
        <v>332.44447101343894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251.79502399207217</v>
      </c>
      <c r="AO131" s="62">
        <f t="shared" si="90"/>
        <v>353.30085932455904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0.26775445013889315</v>
      </c>
      <c r="AV131" s="23">
        <f>EXP(-LN(2)/25)*AV130+(1-EXP(-LN(2)/25))/(LN(2)/25)*Calculateur!AQ131*Calculateur!AS131*VLOOKUP('Données projet'!$B$10,Paramètres!$A$1:$I$89,3,0)*0.475*44/12</f>
        <v>9.6091018076750745E-2</v>
      </c>
      <c r="AW131" s="23">
        <f>EXP(-LN(2)/2)*AW130+(1-EXP(-LN(2)/2))/(LN(2)/2)*AQ131*AT131*VLOOKUP('Données projet'!$B$10,Paramètres!$A$1:$I$89,3,0)*0.475*44/12</f>
        <v>5.0804645655345105E-15</v>
      </c>
      <c r="AX131" s="23">
        <f t="shared" si="60"/>
        <v>0.363845468215649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68.846649855256047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1.4255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5.2268333333333334</v>
      </c>
      <c r="H132" s="70">
        <f t="shared" ref="H132:H195" si="110">(B132+E132+F132)*44/12+(C132+D132)*0.475*44/12</f>
        <v>222.1695666666667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5.9412741393316544E-14</v>
      </c>
      <c r="P132" s="14">
        <f t="shared" si="87"/>
        <v>9.483138037075782E-13</v>
      </c>
      <c r="Q132" s="22">
        <f t="shared" si="108"/>
        <v>1.7551237327173916E-12</v>
      </c>
      <c r="R132" s="62">
        <f t="shared" si="109"/>
        <v>289.17774563979845</v>
      </c>
      <c r="S132" s="62">
        <f ca="1">AVERAGE(OFFSET($R$3,0,0,'Données projet'!$E$9+1,1))-AVERAGE(OFFSET($H$3,0,0,'Données projet'!$E$9+1,1))</f>
        <v>326.68822125342342</v>
      </c>
      <c r="T132" s="62">
        <f t="shared" si="88"/>
        <v>332.44447101343894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251.79502399207217</v>
      </c>
      <c r="AO132" s="62">
        <f t="shared" si="90"/>
        <v>353.30085932455904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0.2625039486857581</v>
      </c>
      <c r="AV132" s="23">
        <f>EXP(-LN(2)/25)*AV131+(1-EXP(-LN(2)/25))/(LN(2)/25)*Calculateur!AQ132*Calculateur!AS132*VLOOKUP('Données projet'!$B$10,Paramètres!$A$1:$I$89,3,0)*0.475*44/12</f>
        <v>9.346340413423497E-2</v>
      </c>
      <c r="AW132" s="23">
        <f>EXP(-LN(2)/2)*AW131+(1-EXP(-LN(2)/2))/(LN(2)/2)*AQ132*AT132*VLOOKUP('Données projet'!$B$10,Paramètres!$A$1:$I$89,3,0)*0.475*44/12</f>
        <v>3.5924309458674193E-15</v>
      </c>
      <c r="AX132" s="23">
        <f t="shared" ref="AX132:AX153" si="114">SUM(AU132:AW132)</f>
        <v>0.3559673528199967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68.866657901762721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1.4255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5.2268333333333334</v>
      </c>
      <c r="H133" s="70">
        <f t="shared" si="110"/>
        <v>222.1695666666667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5.9412741393316544E-14</v>
      </c>
      <c r="P133" s="14">
        <f t="shared" ref="P133:P196" si="141">EXP(-1.0587+0.8836*LN(O133)+0.284)</f>
        <v>9.483138037075782E-13</v>
      </c>
      <c r="Q133" s="22">
        <f t="shared" si="108"/>
        <v>1.7551237327173916E-12</v>
      </c>
      <c r="R133" s="62">
        <f t="shared" si="109"/>
        <v>289.24983579577901</v>
      </c>
      <c r="S133" s="62">
        <f ca="1">AVERAGE(OFFSET($R$3,0,0,'Données projet'!$E$9+1,1))-AVERAGE(OFFSET($H$3,0,0,'Données projet'!$E$9+1,1))</f>
        <v>326.68822125342342</v>
      </c>
      <c r="T133" s="62">
        <f t="shared" ref="T133:T196" si="142">$T$3</f>
        <v>332.44447101343894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251.79502399207217</v>
      </c>
      <c r="AO133" s="62">
        <f t="shared" ref="AO133:AO196" si="144">$AO$3</f>
        <v>353.30085932455904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0.25735640636362939</v>
      </c>
      <c r="AV133" s="23">
        <f>EXP(-LN(2)/25)*AV132+(1-EXP(-LN(2)/25))/(LN(2)/25)*Calculateur!AQ133*Calculateur!AS133*VLOOKUP('Données projet'!$B$10,Paramètres!$A$1:$I$89,3,0)*0.475*44/12</f>
        <v>9.0907642433157507E-2</v>
      </c>
      <c r="AW133" s="23">
        <f>EXP(-LN(2)/2)*AW132+(1-EXP(-LN(2)/2))/(LN(2)/2)*AQ133*AT133*VLOOKUP('Données projet'!$B$10,Paramètres!$A$1:$I$89,3,0)*0.475*44/12</f>
        <v>2.5402322827672553E-15</v>
      </c>
      <c r="AX133" s="23">
        <f t="shared" si="114"/>
        <v>0.34826404879678946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68.886318853393789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1.4255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5.2268333333333334</v>
      </c>
      <c r="H134" s="70">
        <f t="shared" si="110"/>
        <v>222.1695666666667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5.9412741393316544E-14</v>
      </c>
      <c r="P134" s="14">
        <f t="shared" si="141"/>
        <v>9.483138037075782E-13</v>
      </c>
      <c r="Q134" s="22">
        <f t="shared" si="108"/>
        <v>1.7551237327173916E-12</v>
      </c>
      <c r="R134" s="62">
        <f t="shared" si="109"/>
        <v>289.32067534872277</v>
      </c>
      <c r="S134" s="62">
        <f ca="1">AVERAGE(OFFSET($R$3,0,0,'Données projet'!$E$9+1,1))-AVERAGE(OFFSET($H$3,0,0,'Données projet'!$E$9+1,1))</f>
        <v>326.68822125342342</v>
      </c>
      <c r="T134" s="62">
        <f t="shared" si="142"/>
        <v>332.44447101343894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251.79502399207217</v>
      </c>
      <c r="AO134" s="62">
        <f t="shared" si="144"/>
        <v>353.30085932455904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0.25230980420674681</v>
      </c>
      <c r="AV134" s="23">
        <f>EXP(-LN(2)/25)*AV133+(1-EXP(-LN(2)/25))/(LN(2)/25)*Calculateur!AQ134*Calculateur!AS134*VLOOKUP('Données projet'!$B$10,Paramètres!$A$1:$I$89,3,0)*0.475*44/12</f>
        <v>8.8421768170197673E-2</v>
      </c>
      <c r="AW134" s="23">
        <f>EXP(-LN(2)/2)*AW133+(1-EXP(-LN(2)/2))/(LN(2)/2)*AQ134*AT134*VLOOKUP('Données projet'!$B$10,Paramètres!$A$1:$I$89,3,0)*0.475*44/12</f>
        <v>1.7962154729337097E-15</v>
      </c>
      <c r="AX134" s="23">
        <f t="shared" si="114"/>
        <v>0.34073157237694629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68.905638731469367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1.4255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5.2268333333333334</v>
      </c>
      <c r="H135" s="70">
        <f t="shared" si="110"/>
        <v>222.1695666666667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5.9412741393316544E-14</v>
      </c>
      <c r="P135" s="14">
        <f t="shared" si="141"/>
        <v>9.483138037075782E-13</v>
      </c>
      <c r="Q135" s="22">
        <f t="shared" si="108"/>
        <v>1.7551237327173916E-12</v>
      </c>
      <c r="R135" s="62">
        <f t="shared" si="109"/>
        <v>289.39028599379651</v>
      </c>
      <c r="S135" s="62">
        <f ca="1">AVERAGE(OFFSET($R$3,0,0,'Données projet'!$E$9+1,1))-AVERAGE(OFFSET($H$3,0,0,'Données projet'!$E$9+1,1))</f>
        <v>326.68822125342342</v>
      </c>
      <c r="T135" s="62">
        <f t="shared" si="142"/>
        <v>332.44447101343894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251.79502399207217</v>
      </c>
      <c r="AO135" s="62">
        <f t="shared" si="144"/>
        <v>353.30085932455904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0.24736216284003731</v>
      </c>
      <c r="AV135" s="23">
        <f>EXP(-LN(2)/25)*AV134+(1-EXP(-LN(2)/25))/(LN(2)/25)*Calculateur!AQ135*Calculateur!AS135*VLOOKUP('Données projet'!$B$10,Paramètres!$A$1:$I$89,3,0)*0.475*44/12</f>
        <v>8.6003870269684923E-2</v>
      </c>
      <c r="AW135" s="23">
        <f>EXP(-LN(2)/2)*AW134+(1-EXP(-LN(2)/2))/(LN(2)/2)*AQ135*AT135*VLOOKUP('Données projet'!$B$10,Paramètres!$A$1:$I$89,3,0)*0.475*44/12</f>
        <v>1.2701161413836276E-15</v>
      </c>
      <c r="AX135" s="23">
        <f t="shared" si="114"/>
        <v>0.33336603310972351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68.924623452853112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1.4255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5.2268333333333334</v>
      </c>
      <c r="H136" s="70">
        <f t="shared" si="110"/>
        <v>222.1695666666667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5.9412741393316544E-14</v>
      </c>
      <c r="P136" s="14">
        <f t="shared" si="141"/>
        <v>9.483138037075782E-13</v>
      </c>
      <c r="Q136" s="22">
        <f t="shared" si="108"/>
        <v>1.7551237327173916E-12</v>
      </c>
      <c r="R136" s="62">
        <f t="shared" si="109"/>
        <v>289.45868904980432</v>
      </c>
      <c r="S136" s="62">
        <f ca="1">AVERAGE(OFFSET($R$3,0,0,'Données projet'!$E$9+1,1))-AVERAGE(OFFSET($H$3,0,0,'Données projet'!$E$9+1,1))</f>
        <v>326.68822125342342</v>
      </c>
      <c r="T136" s="62">
        <f t="shared" si="142"/>
        <v>332.44447101343894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251.79502399207217</v>
      </c>
      <c r="AO136" s="62">
        <f t="shared" si="144"/>
        <v>353.30085932455904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0.24251154170276573</v>
      </c>
      <c r="AV136" s="23">
        <f>EXP(-LN(2)/25)*AV135+(1-EXP(-LN(2)/25))/(LN(2)/25)*Calculateur!AQ136*Calculateur!AS136*VLOOKUP('Données projet'!$B$10,Paramètres!$A$1:$I$89,3,0)*0.475*44/12</f>
        <v>8.3652089914413419E-2</v>
      </c>
      <c r="AW136" s="23">
        <f>EXP(-LN(2)/2)*AW135+(1-EXP(-LN(2)/2))/(LN(2)/2)*AQ136*AT136*VLOOKUP('Données projet'!$B$10,Paramètres!$A$1:$I$89,3,0)*0.475*44/12</f>
        <v>8.9810773646685483E-16</v>
      </c>
      <c r="AX136" s="23">
        <f t="shared" si="114"/>
        <v>0.32616363161718004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68.943278831764331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1.4255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5.2268333333333334</v>
      </c>
      <c r="H137" s="70">
        <f t="shared" si="110"/>
        <v>222.1695666666667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5.9412741393316544E-14</v>
      </c>
      <c r="P137" s="14">
        <f t="shared" si="141"/>
        <v>9.483138037075782E-13</v>
      </c>
      <c r="Q137" s="22">
        <f t="shared" si="108"/>
        <v>1.7551237327173916E-12</v>
      </c>
      <c r="R137" s="62">
        <f t="shared" si="109"/>
        <v>289.52590546571662</v>
      </c>
      <c r="S137" s="62">
        <f ca="1">AVERAGE(OFFSET($R$3,0,0,'Données projet'!$E$9+1,1))-AVERAGE(OFFSET($H$3,0,0,'Données projet'!$E$9+1,1))</f>
        <v>326.68822125342342</v>
      </c>
      <c r="T137" s="62">
        <f t="shared" si="142"/>
        <v>332.44447101343894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251.79502399207217</v>
      </c>
      <c r="AO137" s="62">
        <f t="shared" si="144"/>
        <v>353.30085932455904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0.23775603828740929</v>
      </c>
      <c r="AV137" s="23">
        <f>EXP(-LN(2)/25)*AV136+(1-EXP(-LN(2)/25))/(LN(2)/25)*Calculateur!AQ137*Calculateur!AS137*VLOOKUP('Données projet'!$B$10,Paramètres!$A$1:$I$89,3,0)*0.475*44/12</f>
        <v>8.1364619116631565E-2</v>
      </c>
      <c r="AW137" s="23">
        <f>EXP(-LN(2)/2)*AW136+(1-EXP(-LN(2)/2))/(LN(2)/2)*AQ137*AT137*VLOOKUP('Données projet'!$B$10,Paramètres!$A$1:$I$89,3,0)*0.475*44/12</f>
        <v>6.3505807069181382E-16</v>
      </c>
      <c r="AX137" s="23">
        <f t="shared" si="114"/>
        <v>0.31912065740404144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68.961610581558602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1.4255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5.2268333333333334</v>
      </c>
      <c r="H138" s="70">
        <f t="shared" si="110"/>
        <v>222.1695666666667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5.9412741393316544E-14</v>
      </c>
      <c r="P138" s="14">
        <f t="shared" si="141"/>
        <v>9.483138037075782E-13</v>
      </c>
      <c r="Q138" s="22">
        <f t="shared" si="108"/>
        <v>1.7551237327173916E-12</v>
      </c>
      <c r="R138" s="62">
        <f t="shared" si="109"/>
        <v>289.59195582708634</v>
      </c>
      <c r="S138" s="62">
        <f ca="1">AVERAGE(OFFSET($R$3,0,0,'Données projet'!$E$9+1,1))-AVERAGE(OFFSET($H$3,0,0,'Données projet'!$E$9+1,1))</f>
        <v>326.68822125342342</v>
      </c>
      <c r="T138" s="62">
        <f t="shared" si="142"/>
        <v>332.44447101343894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251.79502399207217</v>
      </c>
      <c r="AO138" s="62">
        <f t="shared" si="144"/>
        <v>353.30085932455904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0.23309378739345732</v>
      </c>
      <c r="AV138" s="23">
        <f>EXP(-LN(2)/25)*AV137+(1-EXP(-LN(2)/25))/(LN(2)/25)*Calculateur!AQ138*Calculateur!AS138*VLOOKUP('Données projet'!$B$10,Paramètres!$A$1:$I$89,3,0)*0.475*44/12</f>
        <v>7.913969932810791E-2</v>
      </c>
      <c r="AW138" s="23">
        <f>EXP(-LN(2)/2)*AW137+(1-EXP(-LN(2)/2))/(LN(2)/2)*AQ138*AT138*VLOOKUP('Données projet'!$B$10,Paramètres!$A$1:$I$89,3,0)*0.475*44/12</f>
        <v>4.4905386823342742E-16</v>
      </c>
      <c r="AX138" s="23">
        <f t="shared" si="114"/>
        <v>0.3122334867215657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68.979624316477612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1.4255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5.2268333333333334</v>
      </c>
      <c r="H139" s="70">
        <f t="shared" si="110"/>
        <v>222.1695666666667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5.9412741393316544E-14</v>
      </c>
      <c r="P139" s="14">
        <f t="shared" si="141"/>
        <v>9.483138037075782E-13</v>
      </c>
      <c r="Q139" s="22">
        <f t="shared" si="108"/>
        <v>1.7551237327173916E-12</v>
      </c>
      <c r="R139" s="62">
        <f t="shared" si="109"/>
        <v>289.65686036235275</v>
      </c>
      <c r="S139" s="62">
        <f ca="1">AVERAGE(OFFSET($R$3,0,0,'Données projet'!$E$9+1,1))-AVERAGE(OFFSET($H$3,0,0,'Données projet'!$E$9+1,1))</f>
        <v>326.68822125342342</v>
      </c>
      <c r="T139" s="62">
        <f t="shared" si="142"/>
        <v>332.44447101343894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251.79502399207217</v>
      </c>
      <c r="AO139" s="62">
        <f t="shared" si="144"/>
        <v>353.30085932455904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0.22852296039584349</v>
      </c>
      <c r="AV139" s="23">
        <f>EXP(-LN(2)/25)*AV138+(1-EXP(-LN(2)/25))/(LN(2)/25)*Calculateur!AQ139*Calculateur!AS139*VLOOKUP('Données projet'!$B$10,Paramètres!$A$1:$I$89,3,0)*0.475*44/12</f>
        <v>7.6975620088204882E-2</v>
      </c>
      <c r="AW139" s="23">
        <f>EXP(-LN(2)/2)*AW138+(1-EXP(-LN(2)/2))/(LN(2)/2)*AQ139*AT139*VLOOKUP('Données projet'!$B$10,Paramètres!$A$1:$I$89,3,0)*0.475*44/12</f>
        <v>3.1752903534590691E-16</v>
      </c>
      <c r="AX139" s="23">
        <f t="shared" si="114"/>
        <v>0.30549858048404871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68.997325553368441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1.4255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5.2268333333333334</v>
      </c>
      <c r="H140" s="70">
        <f t="shared" si="110"/>
        <v>222.1695666666667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5.9412741393316544E-14</v>
      </c>
      <c r="P140" s="14">
        <f t="shared" si="141"/>
        <v>9.483138037075782E-13</v>
      </c>
      <c r="Q140" s="22">
        <f t="shared" si="108"/>
        <v>1.7551237327173916E-12</v>
      </c>
      <c r="R140" s="62">
        <f t="shared" si="109"/>
        <v>289.72063894903704</v>
      </c>
      <c r="S140" s="62">
        <f ca="1">AVERAGE(OFFSET($R$3,0,0,'Données projet'!$E$9+1,1))-AVERAGE(OFFSET($H$3,0,0,'Données projet'!$E$9+1,1))</f>
        <v>326.68822125342342</v>
      </c>
      <c r="T140" s="62">
        <f t="shared" si="142"/>
        <v>332.44447101343894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251.79502399207217</v>
      </c>
      <c r="AO140" s="62">
        <f t="shared" si="144"/>
        <v>353.30085932455904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0.2240417645277237</v>
      </c>
      <c r="AV140" s="23">
        <f>EXP(-LN(2)/25)*AV139+(1-EXP(-LN(2)/25))/(LN(2)/25)*Calculateur!AQ140*Calculateur!AS140*VLOOKUP('Données projet'!$B$10,Paramètres!$A$1:$I$89,3,0)*0.475*44/12</f>
        <v>7.4870717708920995E-2</v>
      </c>
      <c r="AW140" s="23">
        <f>EXP(-LN(2)/2)*AW139+(1-EXP(-LN(2)/2))/(LN(2)/2)*AQ140*AT140*VLOOKUP('Données projet'!$B$10,Paramètres!$A$1:$I$89,3,0)*0.475*44/12</f>
        <v>2.2452693411671371E-16</v>
      </c>
      <c r="AX140" s="23">
        <f t="shared" si="114"/>
        <v>0.29891248223664491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69.014719713373267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1.4255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5.2268333333333334</v>
      </c>
      <c r="H141" s="70">
        <f t="shared" si="110"/>
        <v>222.1695666666667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5.9412741393316544E-14</v>
      </c>
      <c r="P141" s="14">
        <f t="shared" si="141"/>
        <v>9.483138037075782E-13</v>
      </c>
      <c r="Q141" s="22">
        <f t="shared" si="108"/>
        <v>1.7551237327173916E-12</v>
      </c>
      <c r="R141" s="62">
        <f t="shared" si="109"/>
        <v>289.78331111982993</v>
      </c>
      <c r="S141" s="62">
        <f ca="1">AVERAGE(OFFSET($R$3,0,0,'Données projet'!$E$9+1,1))-AVERAGE(OFFSET($H$3,0,0,'Données projet'!$E$9+1,1))</f>
        <v>326.68822125342342</v>
      </c>
      <c r="T141" s="62">
        <f t="shared" si="142"/>
        <v>332.44447101343894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251.79502399207217</v>
      </c>
      <c r="AO141" s="62">
        <f t="shared" si="144"/>
        <v>353.30085932455904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0.21964844217731813</v>
      </c>
      <c r="AV141" s="23">
        <f>EXP(-LN(2)/25)*AV140+(1-EXP(-LN(2)/25))/(LN(2)/25)*Calculateur!AQ141*Calculateur!AS141*VLOOKUP('Données projet'!$B$10,Paramètres!$A$1:$I$89,3,0)*0.475*44/12</f>
        <v>7.2823373995890631E-2</v>
      </c>
      <c r="AW141" s="23">
        <f>EXP(-LN(2)/2)*AW140+(1-EXP(-LN(2)/2))/(LN(2)/2)*AQ141*AT141*VLOOKUP('Données projet'!$B$10,Paramètres!$A$1:$I$89,3,0)*0.475*44/12</f>
        <v>1.5876451767295345E-16</v>
      </c>
      <c r="AX141" s="23">
        <f t="shared" si="114"/>
        <v>0.29247181617320894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69.031812123589503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1.4255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5.2268333333333334</v>
      </c>
      <c r="H142" s="70">
        <f t="shared" si="110"/>
        <v>222.1695666666667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5.9412741393316544E-14</v>
      </c>
      <c r="P142" s="14">
        <f t="shared" si="141"/>
        <v>9.483138037075782E-13</v>
      </c>
      <c r="Q142" s="22">
        <f t="shared" si="108"/>
        <v>1.7551237327173916E-12</v>
      </c>
      <c r="R142" s="62">
        <f t="shared" si="109"/>
        <v>289.84489606857363</v>
      </c>
      <c r="S142" s="62">
        <f ca="1">AVERAGE(OFFSET($R$3,0,0,'Données projet'!$E$9+1,1))-AVERAGE(OFFSET($H$3,0,0,'Données projet'!$E$9+1,1))</f>
        <v>326.68822125342342</v>
      </c>
      <c r="T142" s="62">
        <f t="shared" si="142"/>
        <v>332.44447101343894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251.79502399207217</v>
      </c>
      <c r="AO142" s="62">
        <f t="shared" si="144"/>
        <v>353.30085932455904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0.21534127019854199</v>
      </c>
      <c r="AV142" s="23">
        <f>EXP(-LN(2)/25)*AV141+(1-EXP(-LN(2)/25))/(LN(2)/25)*Calculateur!AQ142*Calculateur!AS142*VLOOKUP('Données projet'!$B$10,Paramètres!$A$1:$I$89,3,0)*0.475*44/12</f>
        <v>7.0832015004358206E-2</v>
      </c>
      <c r="AW142" s="23">
        <f>EXP(-LN(2)/2)*AW141+(1-EXP(-LN(2)/2))/(LN(2)/2)*AQ142*AT142*VLOOKUP('Données projet'!$B$10,Paramètres!$A$1:$I$89,3,0)*0.475*44/12</f>
        <v>1.1226346705835685E-16</v>
      </c>
      <c r="AX142" s="23">
        <f t="shared" si="114"/>
        <v>0.28617328520290031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69.048608018701415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1.4255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5.2268333333333334</v>
      </c>
      <c r="H143" s="70">
        <f t="shared" si="110"/>
        <v>222.1695666666667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5.9412741393316544E-14</v>
      </c>
      <c r="P143" s="14">
        <f t="shared" si="141"/>
        <v>9.483138037075782E-13</v>
      </c>
      <c r="Q143" s="22">
        <f t="shared" si="108"/>
        <v>1.7551237327173916E-12</v>
      </c>
      <c r="R143" s="62">
        <f t="shared" si="109"/>
        <v>289.9054126561399</v>
      </c>
      <c r="S143" s="62">
        <f ca="1">AVERAGE(OFFSET($R$3,0,0,'Données projet'!$E$9+1,1))-AVERAGE(OFFSET($H$3,0,0,'Données projet'!$E$9+1,1))</f>
        <v>326.68822125342342</v>
      </c>
      <c r="T143" s="62">
        <f t="shared" si="142"/>
        <v>332.44447101343894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251.79502399207217</v>
      </c>
      <c r="AO143" s="62">
        <f t="shared" si="144"/>
        <v>353.30085932455904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0.21111855923515413</v>
      </c>
      <c r="AV143" s="23">
        <f>EXP(-LN(2)/25)*AV142+(1-EXP(-LN(2)/25))/(LN(2)/25)*Calculateur!AQ143*Calculateur!AS143*VLOOKUP('Données projet'!$B$10,Paramètres!$A$1:$I$89,3,0)*0.475*44/12</f>
        <v>6.8895109829170256E-2</v>
      </c>
      <c r="AW143" s="23">
        <f>EXP(-LN(2)/2)*AW142+(1-EXP(-LN(2)/2))/(LN(2)/2)*AQ143*AT143*VLOOKUP('Données projet'!$B$10,Paramètres!$A$1:$I$89,3,0)*0.475*44/12</f>
        <v>7.9382258836476727E-17</v>
      </c>
      <c r="AX143" s="23">
        <f t="shared" si="114"/>
        <v>0.28001366906432446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69.065112542583122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1.4255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5.2268333333333334</v>
      </c>
      <c r="H144" s="70">
        <f t="shared" si="110"/>
        <v>222.1695666666667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5.9412741393316544E-14</v>
      </c>
      <c r="P144" s="14">
        <f t="shared" si="141"/>
        <v>9.483138037075782E-13</v>
      </c>
      <c r="Q144" s="22">
        <f t="shared" si="108"/>
        <v>1.7551237327173916E-12</v>
      </c>
      <c r="R144" s="62">
        <f t="shared" si="109"/>
        <v>289.96487941620671</v>
      </c>
      <c r="S144" s="62">
        <f ca="1">AVERAGE(OFFSET($R$3,0,0,'Données projet'!$E$9+1,1))-AVERAGE(OFFSET($H$3,0,0,'Données projet'!$E$9+1,1))</f>
        <v>326.68822125342342</v>
      </c>
      <c r="T144" s="62">
        <f t="shared" si="142"/>
        <v>332.44447101343894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251.79502399207217</v>
      </c>
      <c r="AO144" s="62">
        <f t="shared" si="144"/>
        <v>353.30085932455904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0.20697865305815893</v>
      </c>
      <c r="AV144" s="23">
        <f>EXP(-LN(2)/25)*AV143+(1-EXP(-LN(2)/25))/(LN(2)/25)*Calculateur!AQ144*Calculateur!AS144*VLOOKUP('Données projet'!$B$10,Paramètres!$A$1:$I$89,3,0)*0.475*44/12</f>
        <v>6.7011169427855233E-2</v>
      </c>
      <c r="AW144" s="23">
        <f>EXP(-LN(2)/2)*AW143+(1-EXP(-LN(2)/2))/(LN(2)/2)*AQ144*AT144*VLOOKUP('Données projet'!$B$10,Paramètres!$A$1:$I$89,3,0)*0.475*44/12</f>
        <v>5.6131733529178427E-17</v>
      </c>
      <c r="AX144" s="23">
        <f t="shared" si="114"/>
        <v>0.27398982248601422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69.08133074987407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1.4255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5.2268333333333334</v>
      </c>
      <c r="H145" s="70">
        <f t="shared" si="110"/>
        <v>222.1695666666667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5.9412741393316544E-14</v>
      </c>
      <c r="P145" s="14">
        <f t="shared" si="141"/>
        <v>9.483138037075782E-13</v>
      </c>
      <c r="Q145" s="22">
        <f t="shared" si="108"/>
        <v>1.7551237327173916E-12</v>
      </c>
      <c r="R145" s="62">
        <f t="shared" si="109"/>
        <v>290.02331456093407</v>
      </c>
      <c r="S145" s="62">
        <f ca="1">AVERAGE(OFFSET($R$3,0,0,'Données projet'!$E$9+1,1))-AVERAGE(OFFSET($H$3,0,0,'Données projet'!$E$9+1,1))</f>
        <v>326.68822125342342</v>
      </c>
      <c r="T145" s="62">
        <f t="shared" si="142"/>
        <v>332.44447101343894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251.79502399207217</v>
      </c>
      <c r="AO145" s="62">
        <f t="shared" si="144"/>
        <v>353.30085932455904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0.2029199279162012</v>
      </c>
      <c r="AV145" s="23">
        <f>EXP(-LN(2)/25)*AV144+(1-EXP(-LN(2)/25))/(LN(2)/25)*Calculateur!AQ145*Calculateur!AS145*VLOOKUP('Données projet'!$B$10,Paramètres!$A$1:$I$89,3,0)*0.475*44/12</f>
        <v>6.5178745475886285E-2</v>
      </c>
      <c r="AW145" s="23">
        <f>EXP(-LN(2)/2)*AW144+(1-EXP(-LN(2)/2))/(LN(2)/2)*AQ145*AT145*VLOOKUP('Données projet'!$B$10,Paramètres!$A$1:$I$89,3,0)*0.475*44/12</f>
        <v>3.9691129418238364E-17</v>
      </c>
      <c r="AX145" s="23">
        <f t="shared" si="114"/>
        <v>0.26809867339208754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69.097267607526987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1.4255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5.2268333333333334</v>
      </c>
      <c r="H146" s="70">
        <f t="shared" si="110"/>
        <v>222.1695666666667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5.9412741393316544E-14</v>
      </c>
      <c r="P146" s="14">
        <f t="shared" si="141"/>
        <v>9.483138037075782E-13</v>
      </c>
      <c r="Q146" s="22">
        <f t="shared" si="108"/>
        <v>1.7551237327173916E-12</v>
      </c>
      <c r="R146" s="62">
        <f t="shared" si="109"/>
        <v>290.08073598654187</v>
      </c>
      <c r="S146" s="62">
        <f ca="1">AVERAGE(OFFSET($R$3,0,0,'Données projet'!$E$9+1,1))-AVERAGE(OFFSET($H$3,0,0,'Données projet'!$E$9+1,1))</f>
        <v>326.68822125342342</v>
      </c>
      <c r="T146" s="62">
        <f t="shared" si="142"/>
        <v>332.44447101343894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251.79502399207217</v>
      </c>
      <c r="AO146" s="62">
        <f t="shared" si="144"/>
        <v>353.30085932455904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0.19894079189869934</v>
      </c>
      <c r="AV146" s="23">
        <f>EXP(-LN(2)/25)*AV145+(1-EXP(-LN(2)/25))/(LN(2)/25)*Calculateur!AQ146*Calculateur!AS146*VLOOKUP('Données projet'!$B$10,Paramètres!$A$1:$I$89,3,0)*0.475*44/12</f>
        <v>6.3396429253246914E-2</v>
      </c>
      <c r="AW146" s="23">
        <f>EXP(-LN(2)/2)*AW145+(1-EXP(-LN(2)/2))/(LN(2)/2)*AQ146*AT146*VLOOKUP('Données projet'!$B$10,Paramètres!$A$1:$I$89,3,0)*0.475*44/12</f>
        <v>2.8065866764589214E-17</v>
      </c>
      <c r="AX146" s="23">
        <f t="shared" si="114"/>
        <v>0.2623372211519463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69.11292799632912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1.4255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5.2268333333333334</v>
      </c>
      <c r="H147" s="70">
        <f t="shared" si="110"/>
        <v>222.1695666666667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5.9412741393316544E-14</v>
      </c>
      <c r="P147" s="14">
        <f t="shared" si="141"/>
        <v>9.483138037075782E-13</v>
      </c>
      <c r="Q147" s="22">
        <f t="shared" si="108"/>
        <v>1.7551237327173916E-12</v>
      </c>
      <c r="R147" s="62">
        <f t="shared" si="109"/>
        <v>290.13716127879042</v>
      </c>
      <c r="S147" s="62">
        <f ca="1">AVERAGE(OFFSET($R$3,0,0,'Données projet'!$E$9+1,1))-AVERAGE(OFFSET($H$3,0,0,'Données projet'!$E$9+1,1))</f>
        <v>326.68822125342342</v>
      </c>
      <c r="T147" s="62">
        <f t="shared" si="142"/>
        <v>332.44447101343894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251.79502399207217</v>
      </c>
      <c r="AO147" s="62">
        <f t="shared" si="144"/>
        <v>353.30085932455904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0.1950396843114674</v>
      </c>
      <c r="AV147" s="23">
        <f>EXP(-LN(2)/25)*AV146+(1-EXP(-LN(2)/25))/(LN(2)/25)*Calculateur!AQ147*Calculateur!AS147*VLOOKUP('Données projet'!$B$10,Paramètres!$A$1:$I$89,3,0)*0.475*44/12</f>
        <v>6.1662850561443557E-2</v>
      </c>
      <c r="AW147" s="23">
        <f>EXP(-LN(2)/2)*AW146+(1-EXP(-LN(2)/2))/(LN(2)/2)*AQ147*AT147*VLOOKUP('Données projet'!$B$10,Paramètres!$A$1:$I$89,3,0)*0.475*44/12</f>
        <v>1.9845564709119182E-17</v>
      </c>
      <c r="AX147" s="23">
        <f t="shared" si="114"/>
        <v>0.25670253487291095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69.128316712396909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1.4255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5.2268333333333334</v>
      </c>
      <c r="H148" s="70">
        <f t="shared" si="110"/>
        <v>222.1695666666667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5.9412741393316544E-14</v>
      </c>
      <c r="P148" s="14">
        <f t="shared" si="141"/>
        <v>9.483138037075782E-13</v>
      </c>
      <c r="Q148" s="22">
        <f t="shared" si="108"/>
        <v>1.7551237327173916E-12</v>
      </c>
      <c r="R148" s="62">
        <f t="shared" si="109"/>
        <v>290.19260771836656</v>
      </c>
      <c r="S148" s="62">
        <f ca="1">AVERAGE(OFFSET($R$3,0,0,'Données projet'!$E$9+1,1))-AVERAGE(OFFSET($H$3,0,0,'Données projet'!$E$9+1,1))</f>
        <v>326.68822125342342</v>
      </c>
      <c r="T148" s="62">
        <f t="shared" si="142"/>
        <v>332.44447101343894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251.79502399207217</v>
      </c>
      <c r="AO148" s="62">
        <f t="shared" si="144"/>
        <v>353.30085932455904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0.19121507506458038</v>
      </c>
      <c r="AV148" s="23">
        <f>EXP(-LN(2)/25)*AV147+(1-EXP(-LN(2)/25))/(LN(2)/25)*Calculateur!AQ148*Calculateur!AS148*VLOOKUP('Données projet'!$B$10,Paramètres!$A$1:$I$89,3,0)*0.475*44/12</f>
        <v>5.9976676670132505E-2</v>
      </c>
      <c r="AW148" s="23">
        <f>EXP(-LN(2)/2)*AW147+(1-EXP(-LN(2)/2))/(LN(2)/2)*AQ148*AT148*VLOOKUP('Données projet'!$B$10,Paramètres!$A$1:$I$89,3,0)*0.475*44/12</f>
        <v>1.4032933382294607E-17</v>
      </c>
      <c r="AX148" s="23">
        <f t="shared" si="114"/>
        <v>0.25119175173471286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69.143438468644945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1.4255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5.2268333333333334</v>
      </c>
      <c r="H149" s="70">
        <f t="shared" si="110"/>
        <v>222.1695666666667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5.9412741393316544E-14</v>
      </c>
      <c r="P149" s="14">
        <f t="shared" si="141"/>
        <v>9.483138037075782E-13</v>
      </c>
      <c r="Q149" s="22">
        <f t="shared" si="108"/>
        <v>1.7551237327173916E-12</v>
      </c>
      <c r="R149" s="62">
        <f t="shared" si="109"/>
        <v>290.24709228617576</v>
      </c>
      <c r="S149" s="62">
        <f ca="1">AVERAGE(OFFSET($R$3,0,0,'Données projet'!$E$9+1,1))-AVERAGE(OFFSET($H$3,0,0,'Données projet'!$E$9+1,1))</f>
        <v>326.68822125342342</v>
      </c>
      <c r="T149" s="62">
        <f t="shared" si="142"/>
        <v>332.44447101343894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251.79502399207217</v>
      </c>
      <c r="AO149" s="62">
        <f t="shared" si="144"/>
        <v>353.30085932455904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0.18746546407224352</v>
      </c>
      <c r="AV149" s="23">
        <f>EXP(-LN(2)/25)*AV148+(1-EXP(-LN(2)/25))/(LN(2)/25)*Calculateur!AQ149*Calculateur!AS149*VLOOKUP('Données projet'!$B$10,Paramètres!$A$1:$I$89,3,0)*0.475*44/12</f>
        <v>5.8336611292551382E-2</v>
      </c>
      <c r="AW149" s="23">
        <f>EXP(-LN(2)/2)*AW148+(1-EXP(-LN(2)/2))/(LN(2)/2)*AQ149*AT149*VLOOKUP('Données projet'!$B$10,Paramètres!$A$1:$I$89,3,0)*0.475*44/12</f>
        <v>9.9227823545595909E-18</v>
      </c>
      <c r="AX149" s="23">
        <f t="shared" si="114"/>
        <v>0.2458020753647949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69.158297896229271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1.4255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5.2268333333333334</v>
      </c>
      <c r="H150" s="70">
        <f t="shared" si="110"/>
        <v>222.1695666666667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5.9412741393316544E-14</v>
      </c>
      <c r="P150" s="14">
        <f t="shared" si="141"/>
        <v>9.483138037075782E-13</v>
      </c>
      <c r="Q150" s="22">
        <f t="shared" si="108"/>
        <v>1.7551237327173916E-12</v>
      </c>
      <c r="R150" s="62">
        <f t="shared" si="109"/>
        <v>290.30063166854262</v>
      </c>
      <c r="S150" s="62">
        <f ca="1">AVERAGE(OFFSET($R$3,0,0,'Données projet'!$E$9+1,1))-AVERAGE(OFFSET($H$3,0,0,'Données projet'!$E$9+1,1))</f>
        <v>326.68822125342342</v>
      </c>
      <c r="T150" s="62">
        <f t="shared" si="142"/>
        <v>332.44447101343894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251.79502399207217</v>
      </c>
      <c r="AO150" s="62">
        <f t="shared" si="144"/>
        <v>353.30085932455904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0.18378938066442951</v>
      </c>
      <c r="AV150" s="23">
        <f>EXP(-LN(2)/25)*AV149+(1-EXP(-LN(2)/25))/(LN(2)/25)*Calculateur!AQ150*Calculateur!AS150*VLOOKUP('Données projet'!$B$10,Paramètres!$A$1:$I$89,3,0)*0.475*44/12</f>
        <v>5.6741393588967508E-2</v>
      </c>
      <c r="AW150" s="23">
        <f>EXP(-LN(2)/2)*AW149+(1-EXP(-LN(2)/2))/(LN(2)/2)*AQ150*AT150*VLOOKUP('Données projet'!$B$10,Paramètres!$A$1:$I$89,3,0)*0.475*44/12</f>
        <v>7.0164666911473034E-18</v>
      </c>
      <c r="AX150" s="23">
        <f t="shared" si="114"/>
        <v>0.24053077425339703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69.172899545965691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1.4255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5.2268333333333334</v>
      </c>
      <c r="H151" s="70">
        <f t="shared" si="110"/>
        <v>222.1695666666667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5.9412741393316544E-14</v>
      </c>
      <c r="P151" s="14">
        <f t="shared" si="141"/>
        <v>9.483138037075782E-13</v>
      </c>
      <c r="Q151" s="22">
        <f t="shared" si="108"/>
        <v>1.7551237327173916E-12</v>
      </c>
      <c r="R151" s="62">
        <f t="shared" si="109"/>
        <v>290.35324226232154</v>
      </c>
      <c r="S151" s="62">
        <f ca="1">AVERAGE(OFFSET($R$3,0,0,'Données projet'!$E$9+1,1))-AVERAGE(OFFSET($H$3,0,0,'Données projet'!$E$9+1,1))</f>
        <v>326.68822125342342</v>
      </c>
      <c r="T151" s="62">
        <f t="shared" si="142"/>
        <v>332.44447101343894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251.79502399207217</v>
      </c>
      <c r="AO151" s="62">
        <f t="shared" si="144"/>
        <v>353.30085932455904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0.18018538301005327</v>
      </c>
      <c r="AV151" s="23">
        <f>EXP(-LN(2)/25)*AV150+(1-EXP(-LN(2)/25))/(LN(2)/25)*Calculateur!AQ151*Calculateur!AS151*VLOOKUP('Données projet'!$B$10,Paramètres!$A$1:$I$89,3,0)*0.475*44/12</f>
        <v>5.5189797197376989E-2</v>
      </c>
      <c r="AW151" s="23">
        <f>EXP(-LN(2)/2)*AW150+(1-EXP(-LN(2)/2))/(LN(2)/2)*AQ151*AT151*VLOOKUP('Données projet'!$B$10,Paramètres!$A$1:$I$89,3,0)*0.475*44/12</f>
        <v>4.9613911772797955E-18</v>
      </c>
      <c r="AX151" s="23">
        <f t="shared" si="114"/>
        <v>0.23537518020743026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69.187247889723579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1.4255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5.2268333333333334</v>
      </c>
      <c r="H152" s="70">
        <f t="shared" si="110"/>
        <v>222.1695666666667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5.9412741393316544E-14</v>
      </c>
      <c r="P152" s="14">
        <f t="shared" si="141"/>
        <v>9.483138037075782E-13</v>
      </c>
      <c r="Q152" s="22">
        <f t="shared" si="108"/>
        <v>1.7551237327173916E-12</v>
      </c>
      <c r="R152" s="62">
        <f t="shared" si="109"/>
        <v>290.40494017991813</v>
      </c>
      <c r="S152" s="62">
        <f ca="1">AVERAGE(OFFSET($R$3,0,0,'Données projet'!$E$9+1,1))-AVERAGE(OFFSET($H$3,0,0,'Données projet'!$E$9+1,1))</f>
        <v>326.68822125342342</v>
      </c>
      <c r="T152" s="62">
        <f t="shared" si="142"/>
        <v>332.44447101343894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251.79502399207217</v>
      </c>
      <c r="AO152" s="62">
        <f t="shared" si="144"/>
        <v>353.30085932455904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0.17665205755145783</v>
      </c>
      <c r="AV152" s="23">
        <f>EXP(-LN(2)/25)*AV151+(1-EXP(-LN(2)/25))/(LN(2)/25)*Calculateur!AQ152*Calculateur!AS152*VLOOKUP('Données projet'!$B$10,Paramètres!$A$1:$I$89,3,0)*0.475*44/12</f>
        <v>5.3680629290709415E-2</v>
      </c>
      <c r="AW152" s="23">
        <f>EXP(-LN(2)/2)*AW151+(1-EXP(-LN(2)/2))/(LN(2)/2)*AQ152*AT152*VLOOKUP('Données projet'!$B$10,Paramètres!$A$1:$I$89,3,0)*0.475*44/12</f>
        <v>3.5082333455736517E-18</v>
      </c>
      <c r="AX152" s="23">
        <f t="shared" si="114"/>
        <v>0.23033268684216723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69.201347321795367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1.4255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5.2268333333333334</v>
      </c>
      <c r="H153" s="70">
        <f t="shared" si="110"/>
        <v>222.1695666666667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5.9412741393316544E-14</v>
      </c>
      <c r="P153" s="14">
        <f t="shared" si="141"/>
        <v>9.483138037075782E-13</v>
      </c>
      <c r="Q153" s="22">
        <f t="shared" si="108"/>
        <v>1.7551237327173916E-12</v>
      </c>
      <c r="R153" s="62">
        <f t="shared" si="109"/>
        <v>290.45574125422365</v>
      </c>
      <c r="S153" s="62">
        <f ca="1">AVERAGE(OFFSET($R$3,0,0,'Données projet'!$E$9+1,1))-AVERAGE(OFFSET($H$3,0,0,'Données projet'!$E$9+1,1))</f>
        <v>326.68822125342342</v>
      </c>
      <c r="T153" s="62">
        <f t="shared" si="142"/>
        <v>332.44447101343894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251.79502399207217</v>
      </c>
      <c r="AO153" s="62">
        <f t="shared" si="144"/>
        <v>353.30085932455904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0.17318801844998971</v>
      </c>
      <c r="AV153" s="23">
        <f>EXP(-LN(2)/25)*AV152+(1-EXP(-LN(2)/25))/(LN(2)/25)*Calculateur!AQ153*Calculateur!AS153*VLOOKUP('Données projet'!$B$10,Paramètres!$A$1:$I$89,3,0)*0.475*44/12</f>
        <v>5.2212729659813363E-2</v>
      </c>
      <c r="AW153" s="23">
        <f>EXP(-LN(2)/2)*AW152+(1-EXP(-LN(2)/2))/(LN(2)/2)*AQ153*AT153*VLOOKUP('Données projet'!$B$10,Paramètres!$A$1:$I$89,3,0)*0.475*44/12</f>
        <v>2.4806955886398977E-18</v>
      </c>
      <c r="AX153" s="23">
        <f t="shared" si="114"/>
        <v>0.22540074810980307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69.215202160242328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1.4255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5.2268333333333334</v>
      </c>
      <c r="H154" s="70">
        <f t="shared" si="110"/>
        <v>222.1695666666667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5.9412741393316544E-14</v>
      </c>
      <c r="P154" s="14">
        <f t="shared" si="141"/>
        <v>9.483138037075782E-13</v>
      </c>
      <c r="Q154" s="22">
        <f t="shared" ref="Q154:Q203" si="162">(O154+P154)*0.475*44/12</f>
        <v>1.7551237327173916E-12</v>
      </c>
      <c r="R154" s="62">
        <f t="shared" si="109"/>
        <v>290.5056610434641</v>
      </c>
      <c r="S154" s="62">
        <f ca="1">AVERAGE(OFFSET($R$3,0,0,'Données projet'!$E$9+1,1))-AVERAGE(OFFSET($H$3,0,0,'Données projet'!$E$9+1,1))</f>
        <v>326.68822125342342</v>
      </c>
      <c r="T154" s="62">
        <f t="shared" si="142"/>
        <v>332.44447101343894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251.79502399207217</v>
      </c>
      <c r="AO154" s="62">
        <f t="shared" si="144"/>
        <v>353.30085932455904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0.16979190704244615</v>
      </c>
      <c r="AV154" s="23">
        <f>EXP(-LN(2)/25)*AV153+(1-EXP(-LN(2)/25))/(LN(2)/25)*Calculateur!AQ154*Calculateur!AS154*VLOOKUP('Données projet'!$B$10,Paramètres!$A$1:$I$89,3,0)*0.475*44/12</f>
        <v>5.0784969821517645E-2</v>
      </c>
      <c r="AW154" s="23">
        <f>EXP(-LN(2)/2)*AW153+(1-EXP(-LN(2)/2))/(LN(2)/2)*AQ154*AT154*VLOOKUP('Données projet'!$B$10,Paramètres!$A$1:$I$89,3,0)*0.475*44/12</f>
        <v>1.7541166727868258E-18</v>
      </c>
      <c r="AX154" s="23">
        <f t="shared" ref="AX154:AX203" si="166">SUM(AU154:AW154)</f>
        <v>0.22057687686396379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69.228816648217006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1.4255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5.2268333333333334</v>
      </c>
      <c r="H155" s="70">
        <f t="shared" si="110"/>
        <v>222.1695666666667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5.9412741393316544E-14</v>
      </c>
      <c r="P155" s="14">
        <f t="shared" si="141"/>
        <v>9.483138037075782E-13</v>
      </c>
      <c r="Q155" s="22">
        <f t="shared" si="162"/>
        <v>1.7551237327173916E-12</v>
      </c>
      <c r="R155" s="62">
        <f t="shared" si="109"/>
        <v>290.55471483596523</v>
      </c>
      <c r="S155" s="62">
        <f ca="1">AVERAGE(OFFSET($R$3,0,0,'Données projet'!$E$9+1,1))-AVERAGE(OFFSET($H$3,0,0,'Données projet'!$E$9+1,1))</f>
        <v>326.68822125342342</v>
      </c>
      <c r="T155" s="62">
        <f t="shared" si="142"/>
        <v>332.44447101343894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251.79502399207217</v>
      </c>
      <c r="AO155" s="62">
        <f t="shared" si="144"/>
        <v>353.30085932455904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0.16646239130818111</v>
      </c>
      <c r="AV155" s="23">
        <f>EXP(-LN(2)/25)*AV154+(1-EXP(-LN(2)/25))/(LN(2)/25)*Calculateur!AQ155*Calculateur!AS155*VLOOKUP('Données projet'!$B$10,Paramètres!$A$1:$I$89,3,0)*0.475*44/12</f>
        <v>4.9396252151082752E-2</v>
      </c>
      <c r="AW155" s="23">
        <f>EXP(-LN(2)/2)*AW154+(1-EXP(-LN(2)/2))/(LN(2)/2)*AQ155*AT155*VLOOKUP('Données projet'!$B$10,Paramètres!$A$1:$I$89,3,0)*0.475*44/12</f>
        <v>1.2403477943199489E-18</v>
      </c>
      <c r="AX155" s="23">
        <f t="shared" si="166"/>
        <v>0.21585864345926387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69.242194955262761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1.4255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5.2268333333333334</v>
      </c>
      <c r="H156" s="70">
        <f t="shared" si="110"/>
        <v>222.1695666666667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5.9412741393316544E-14</v>
      </c>
      <c r="P156" s="14">
        <f t="shared" si="141"/>
        <v>9.483138037075782E-13</v>
      </c>
      <c r="Q156" s="22">
        <f t="shared" si="162"/>
        <v>1.7551237327173916E-12</v>
      </c>
      <c r="R156" s="62">
        <f t="shared" si="109"/>
        <v>290.60291765483419</v>
      </c>
      <c r="S156" s="62">
        <f ca="1">AVERAGE(OFFSET($R$3,0,0,'Données projet'!$E$9+1,1))-AVERAGE(OFFSET($H$3,0,0,'Données projet'!$E$9+1,1))</f>
        <v>326.68822125342342</v>
      </c>
      <c r="T156" s="62">
        <f t="shared" si="142"/>
        <v>332.44447101343894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251.79502399207217</v>
      </c>
      <c r="AO156" s="62">
        <f t="shared" si="144"/>
        <v>353.30085932455904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0.16319816534666093</v>
      </c>
      <c r="AV156" s="23">
        <f>EXP(-LN(2)/25)*AV155+(1-EXP(-LN(2)/25))/(LN(2)/25)*Calculateur!AQ156*Calculateur!AS156*VLOOKUP('Données projet'!$B$10,Paramètres!$A$1:$I$89,3,0)*0.475*44/12</f>
        <v>4.8045509038375393E-2</v>
      </c>
      <c r="AW156" s="23">
        <f>EXP(-LN(2)/2)*AW155+(1-EXP(-LN(2)/2))/(LN(2)/2)*AQ156*AT156*VLOOKUP('Données projet'!$B$10,Paramètres!$A$1:$I$89,3,0)*0.475*44/12</f>
        <v>8.7705833639341292E-19</v>
      </c>
      <c r="AX156" s="23">
        <f t="shared" si="166"/>
        <v>0.21124367438503633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69.255341178590669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1.4255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5.2268333333333334</v>
      </c>
      <c r="H157" s="70">
        <f t="shared" si="110"/>
        <v>222.1695666666667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5.9412741393316544E-14</v>
      </c>
      <c r="P157" s="14">
        <f t="shared" si="141"/>
        <v>9.483138037075782E-13</v>
      </c>
      <c r="Q157" s="22">
        <f t="shared" si="162"/>
        <v>1.7551237327173916E-12</v>
      </c>
      <c r="R157" s="62">
        <f t="shared" si="109"/>
        <v>290.65028426256129</v>
      </c>
      <c r="S157" s="62">
        <f ca="1">AVERAGE(OFFSET($R$3,0,0,'Données projet'!$E$9+1,1))-AVERAGE(OFFSET($H$3,0,0,'Données projet'!$E$9+1,1))</f>
        <v>326.68822125342342</v>
      </c>
      <c r="T157" s="62">
        <f t="shared" si="142"/>
        <v>332.44447101343894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251.79502399207217</v>
      </c>
      <c r="AO157" s="62">
        <f t="shared" si="144"/>
        <v>353.30085932455904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0.15999794886526492</v>
      </c>
      <c r="AV157" s="23">
        <f>EXP(-LN(2)/25)*AV156+(1-EXP(-LN(2)/25))/(LN(2)/25)*Calculateur!AQ157*Calculateur!AS157*VLOOKUP('Données projet'!$B$10,Paramètres!$A$1:$I$89,3,0)*0.475*44/12</f>
        <v>4.6731702067117506E-2</v>
      </c>
      <c r="AW157" s="23">
        <f>EXP(-LN(2)/2)*AW156+(1-EXP(-LN(2)/2))/(LN(2)/2)*AQ157*AT157*VLOOKUP('Données projet'!$B$10,Paramètres!$A$1:$I$89,3,0)*0.475*44/12</f>
        <v>6.2017389715997443E-19</v>
      </c>
      <c r="AX157" s="23">
        <f t="shared" si="166"/>
        <v>0.20672965093238244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69.26825934433441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1.4255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5.2268333333333334</v>
      </c>
      <c r="H158" s="70">
        <f t="shared" si="110"/>
        <v>222.1695666666667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5.9412741393316544E-14</v>
      </c>
      <c r="P158" s="14">
        <f t="shared" si="141"/>
        <v>9.483138037075782E-13</v>
      </c>
      <c r="Q158" s="22">
        <f t="shared" si="162"/>
        <v>1.7551237327173916E-12</v>
      </c>
      <c r="R158" s="62">
        <f t="shared" si="109"/>
        <v>290.69682916554007</v>
      </c>
      <c r="S158" s="62">
        <f ca="1">AVERAGE(OFFSET($R$3,0,0,'Données projet'!$E$9+1,1))-AVERAGE(OFFSET($H$3,0,0,'Données projet'!$E$9+1,1))</f>
        <v>326.68822125342342</v>
      </c>
      <c r="T158" s="62">
        <f t="shared" si="142"/>
        <v>332.44447101343894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251.79502399207217</v>
      </c>
      <c r="AO158" s="62">
        <f t="shared" si="144"/>
        <v>353.30085932455904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0.15686048667712976</v>
      </c>
      <c r="AV158" s="23">
        <f>EXP(-LN(2)/25)*AV157+(1-EXP(-LN(2)/25))/(LN(2)/25)*Calculateur!AQ158*Calculateur!AS158*VLOOKUP('Données projet'!$B$10,Paramètres!$A$1:$I$89,3,0)*0.475*44/12</f>
        <v>4.5453821216578774E-2</v>
      </c>
      <c r="AW158" s="23">
        <f>EXP(-LN(2)/2)*AW157+(1-EXP(-LN(2)/2))/(LN(2)/2)*AQ158*AT158*VLOOKUP('Données projet'!$B$10,Paramètres!$A$1:$I$89,3,0)*0.475*44/12</f>
        <v>4.3852916819670646E-19</v>
      </c>
      <c r="AX158" s="23">
        <f t="shared" si="166"/>
        <v>0.20231430789370852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69.280953408783176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1.4255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5.2268333333333334</v>
      </c>
      <c r="H159" s="70">
        <f t="shared" si="110"/>
        <v>222.1695666666667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5.9412741393316544E-14</v>
      </c>
      <c r="P159" s="14">
        <f t="shared" si="141"/>
        <v>9.483138037075782E-13</v>
      </c>
      <c r="Q159" s="22">
        <f t="shared" si="162"/>
        <v>1.7551237327173916E-12</v>
      </c>
      <c r="R159" s="62">
        <f t="shared" si="109"/>
        <v>290.74256661851103</v>
      </c>
      <c r="S159" s="62">
        <f ca="1">AVERAGE(OFFSET($R$3,0,0,'Données projet'!$E$9+1,1))-AVERAGE(OFFSET($H$3,0,0,'Données projet'!$E$9+1,1))</f>
        <v>326.68822125342342</v>
      </c>
      <c r="T159" s="62">
        <f t="shared" si="142"/>
        <v>332.44447101343894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251.79502399207217</v>
      </c>
      <c r="AO159" s="62">
        <f t="shared" si="144"/>
        <v>353.30085932455904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0.15378454820884097</v>
      </c>
      <c r="AV159" s="23">
        <f>EXP(-LN(2)/25)*AV158+(1-EXP(-LN(2)/25))/(LN(2)/25)*Calculateur!AQ159*Calculateur!AS159*VLOOKUP('Données projet'!$B$10,Paramètres!$A$1:$I$89,3,0)*0.475*44/12</f>
        <v>4.4210884085098857E-2</v>
      </c>
      <c r="AW159" s="23">
        <f>EXP(-LN(2)/2)*AW158+(1-EXP(-LN(2)/2))/(LN(2)/2)*AQ159*AT159*VLOOKUP('Données projet'!$B$10,Paramètres!$A$1:$I$89,3,0)*0.475*44/12</f>
        <v>3.1008694857998722E-19</v>
      </c>
      <c r="AX159" s="23">
        <f t="shared" si="166"/>
        <v>0.19799543229393982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69.293427259593443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1.4255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5.2268333333333334</v>
      </c>
      <c r="H160" s="70">
        <f t="shared" si="110"/>
        <v>222.1695666666667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5.9412741393316544E-14</v>
      </c>
      <c r="P160" s="14">
        <f t="shared" si="141"/>
        <v>9.483138037075782E-13</v>
      </c>
      <c r="Q160" s="22">
        <f t="shared" si="162"/>
        <v>1.7551237327173916E-12</v>
      </c>
      <c r="R160" s="62">
        <f t="shared" si="109"/>
        <v>290.78751062892661</v>
      </c>
      <c r="S160" s="62">
        <f ca="1">AVERAGE(OFFSET($R$3,0,0,'Données projet'!$E$9+1,1))-AVERAGE(OFFSET($H$3,0,0,'Données projet'!$E$9+1,1))</f>
        <v>326.68822125342342</v>
      </c>
      <c r="T160" s="62">
        <f t="shared" si="142"/>
        <v>332.44447101343894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251.79502399207217</v>
      </c>
      <c r="AO160" s="62">
        <f t="shared" si="144"/>
        <v>353.30085932455904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0.15076892701777808</v>
      </c>
      <c r="AV160" s="23">
        <f>EXP(-LN(2)/25)*AV159+(1-EXP(-LN(2)/25))/(LN(2)/25)*Calculateur!AQ160*Calculateur!AS160*VLOOKUP('Données projet'!$B$10,Paramètres!$A$1:$I$89,3,0)*0.475*44/12</f>
        <v>4.3001935134842482E-2</v>
      </c>
      <c r="AW160" s="23">
        <f>EXP(-LN(2)/2)*AW159+(1-EXP(-LN(2)/2))/(LN(2)/2)*AQ160*AT160*VLOOKUP('Données projet'!$B$10,Paramètres!$A$1:$I$89,3,0)*0.475*44/12</f>
        <v>2.1926458409835323E-19</v>
      </c>
      <c r="AX160" s="23">
        <f t="shared" si="166"/>
        <v>0.19377086215262057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69.305684716979499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1.4255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5.2268333333333334</v>
      </c>
      <c r="H161" s="70">
        <f t="shared" si="110"/>
        <v>222.1695666666667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5.9412741393316544E-14</v>
      </c>
      <c r="P161" s="14">
        <f t="shared" si="141"/>
        <v>9.483138037075782E-13</v>
      </c>
      <c r="Q161" s="22">
        <f t="shared" si="162"/>
        <v>1.7551237327173916E-12</v>
      </c>
      <c r="R161" s="62">
        <f t="shared" si="109"/>
        <v>290.83167496124116</v>
      </c>
      <c r="S161" s="62">
        <f ca="1">AVERAGE(OFFSET($R$3,0,0,'Données projet'!$E$9+1,1))-AVERAGE(OFFSET($H$3,0,0,'Données projet'!$E$9+1,1))</f>
        <v>326.68822125342342</v>
      </c>
      <c r="T161" s="62">
        <f t="shared" si="142"/>
        <v>332.44447101343894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251.79502399207217</v>
      </c>
      <c r="AO161" s="62">
        <f t="shared" si="144"/>
        <v>353.30085932455904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0.14781244031892465</v>
      </c>
      <c r="AV161" s="23">
        <f>EXP(-LN(2)/25)*AV160+(1-EXP(-LN(2)/25))/(LN(2)/25)*Calculateur!AQ161*Calculateur!AS161*VLOOKUP('Données projet'!$B$10,Paramètres!$A$1:$I$89,3,0)*0.475*44/12</f>
        <v>4.182604495720673E-2</v>
      </c>
      <c r="AW161" s="23">
        <f>EXP(-LN(2)/2)*AW160+(1-EXP(-LN(2)/2))/(LN(2)/2)*AQ161*AT161*VLOOKUP('Données projet'!$B$10,Paramètres!$A$1:$I$89,3,0)*0.475*44/12</f>
        <v>1.5504347428999361E-19</v>
      </c>
      <c r="AX161" s="23">
        <f t="shared" si="166"/>
        <v>0.18963848527613139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69.317729534883469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1.4255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5.2268333333333334</v>
      </c>
      <c r="H162" s="70">
        <f t="shared" si="110"/>
        <v>222.1695666666667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5.9412741393316544E-14</v>
      </c>
      <c r="P162" s="14">
        <f t="shared" si="141"/>
        <v>9.483138037075782E-13</v>
      </c>
      <c r="Q162" s="22">
        <f t="shared" si="162"/>
        <v>1.7551237327173916E-12</v>
      </c>
      <c r="R162" s="62">
        <f t="shared" si="109"/>
        <v>290.87507314112679</v>
      </c>
      <c r="S162" s="62">
        <f ca="1">AVERAGE(OFFSET($R$3,0,0,'Données projet'!$E$9+1,1))-AVERAGE(OFFSET($H$3,0,0,'Données projet'!$E$9+1,1))</f>
        <v>326.68822125342342</v>
      </c>
      <c r="T162" s="62">
        <f t="shared" si="142"/>
        <v>332.44447101343894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251.79502399207217</v>
      </c>
      <c r="AO162" s="62">
        <f t="shared" si="144"/>
        <v>353.30085932455904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0.14491392852095691</v>
      </c>
      <c r="AV162" s="23">
        <f>EXP(-LN(2)/25)*AV161+(1-EXP(-LN(2)/25))/(LN(2)/25)*Calculateur!AQ162*Calculateur!AS162*VLOOKUP('Données projet'!$B$10,Paramètres!$A$1:$I$89,3,0)*0.475*44/12</f>
        <v>4.0682309558315803E-2</v>
      </c>
      <c r="AW162" s="23">
        <f>EXP(-LN(2)/2)*AW161+(1-EXP(-LN(2)/2))/(LN(2)/2)*AQ162*AT162*VLOOKUP('Données projet'!$B$10,Paramètres!$A$1:$I$89,3,0)*0.475*44/12</f>
        <v>1.0963229204917662E-19</v>
      </c>
      <c r="AX162" s="23">
        <f t="shared" si="166"/>
        <v>0.18559623807927272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69.329565402124999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1.4255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5.2268333333333334</v>
      </c>
      <c r="H163" s="70">
        <f t="shared" si="110"/>
        <v>222.1695666666667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5.9412741393316544E-14</v>
      </c>
      <c r="P163" s="14">
        <f t="shared" si="141"/>
        <v>9.483138037075782E-13</v>
      </c>
      <c r="Q163" s="22">
        <f t="shared" si="162"/>
        <v>1.7551237327173916E-12</v>
      </c>
      <c r="R163" s="62">
        <f t="shared" si="109"/>
        <v>290.91771845961512</v>
      </c>
      <c r="S163" s="62">
        <f ca="1">AVERAGE(OFFSET($R$3,0,0,'Données projet'!$E$9+1,1))-AVERAGE(OFFSET($H$3,0,0,'Données projet'!$E$9+1,1))</f>
        <v>326.68822125342342</v>
      </c>
      <c r="T163" s="62">
        <f t="shared" si="142"/>
        <v>332.44447101343894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251.79502399207217</v>
      </c>
      <c r="AO163" s="62">
        <f t="shared" si="144"/>
        <v>353.30085932455904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0.14207225477142968</v>
      </c>
      <c r="AV163" s="23">
        <f>EXP(-LN(2)/25)*AV162+(1-EXP(-LN(2)/25))/(LN(2)/25)*Calculateur!AQ163*Calculateur!AS163*VLOOKUP('Données projet'!$B$10,Paramètres!$A$1:$I$89,3,0)*0.475*44/12</f>
        <v>3.9569849664053976E-2</v>
      </c>
      <c r="AW163" s="23">
        <f>EXP(-LN(2)/2)*AW162+(1-EXP(-LN(2)/2))/(LN(2)/2)*AQ163*AT163*VLOOKUP('Données projet'!$B$10,Paramètres!$A$1:$I$89,3,0)*0.475*44/12</f>
        <v>7.7521737144996804E-20</v>
      </c>
      <c r="AX163" s="23">
        <f t="shared" si="166"/>
        <v>0.18164210443548365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69.34119594353092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1.4255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5.2268333333333334</v>
      </c>
      <c r="H164" s="70">
        <f t="shared" si="110"/>
        <v>222.1695666666667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5.9412741393316544E-14</v>
      </c>
      <c r="P164" s="14">
        <f t="shared" si="141"/>
        <v>9.483138037075782E-13</v>
      </c>
      <c r="Q164" s="22">
        <f t="shared" si="162"/>
        <v>1.7551237327173916E-12</v>
      </c>
      <c r="R164" s="62">
        <f t="shared" si="109"/>
        <v>290.95962397716835</v>
      </c>
      <c r="S164" s="62">
        <f ca="1">AVERAGE(OFFSET($R$3,0,0,'Données projet'!$E$9+1,1))-AVERAGE(OFFSET($H$3,0,0,'Données projet'!$E$9+1,1))</f>
        <v>326.68822125342342</v>
      </c>
      <c r="T164" s="62">
        <f t="shared" si="142"/>
        <v>332.44447101343894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251.79502399207217</v>
      </c>
      <c r="AO164" s="62">
        <f t="shared" si="144"/>
        <v>353.30085932455904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0.13928630451088084</v>
      </c>
      <c r="AV164" s="23">
        <f>EXP(-LN(2)/25)*AV163+(1-EXP(-LN(2)/25))/(LN(2)/25)*Calculateur!AQ164*Calculateur!AS164*VLOOKUP('Données projet'!$B$10,Paramètres!$A$1:$I$89,3,0)*0.475*44/12</f>
        <v>3.8487810044102462E-2</v>
      </c>
      <c r="AW164" s="23">
        <f>EXP(-LN(2)/2)*AW163+(1-EXP(-LN(2)/2))/(LN(2)/2)*AQ164*AT164*VLOOKUP('Données projet'!$B$10,Paramètres!$A$1:$I$89,3,0)*0.475*44/12</f>
        <v>5.4816146024588308E-20</v>
      </c>
      <c r="AX164" s="23">
        <f t="shared" si="166"/>
        <v>0.17777411455498329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69.35262472104543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1.4255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5.2268333333333334</v>
      </c>
      <c r="H165" s="70">
        <f t="shared" si="110"/>
        <v>222.1695666666667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5.9412741393316544E-14</v>
      </c>
      <c r="P165" s="14">
        <f t="shared" si="141"/>
        <v>9.483138037075782E-13</v>
      </c>
      <c r="Q165" s="22">
        <f t="shared" si="162"/>
        <v>1.7551237327173916E-12</v>
      </c>
      <c r="R165" s="62">
        <f t="shared" si="109"/>
        <v>291.00080252767873</v>
      </c>
      <c r="S165" s="62">
        <f ca="1">AVERAGE(OFFSET($R$3,0,0,'Données projet'!$E$9+1,1))-AVERAGE(OFFSET($H$3,0,0,'Données projet'!$E$9+1,1))</f>
        <v>326.68822125342342</v>
      </c>
      <c r="T165" s="62">
        <f t="shared" si="142"/>
        <v>332.44447101343894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251.79502399207217</v>
      </c>
      <c r="AO165" s="62">
        <f t="shared" si="144"/>
        <v>353.30085932455904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0.13655498503567948</v>
      </c>
      <c r="AV165" s="23">
        <f>EXP(-LN(2)/25)*AV164+(1-EXP(-LN(2)/25))/(LN(2)/25)*Calculateur!AQ165*Calculateur!AS165*VLOOKUP('Données projet'!$B$10,Paramètres!$A$1:$I$89,3,0)*0.475*44/12</f>
        <v>3.7435358854460518E-2</v>
      </c>
      <c r="AW165" s="23">
        <f>EXP(-LN(2)/2)*AW164+(1-EXP(-LN(2)/2))/(LN(2)/2)*AQ165*AT165*VLOOKUP('Données projet'!$B$10,Paramètres!$A$1:$I$89,3,0)*0.475*44/12</f>
        <v>3.8760868572498402E-20</v>
      </c>
      <c r="AX165" s="23">
        <f t="shared" si="166"/>
        <v>0.17399034389014001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69.363855234820988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1.4255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5.2268333333333334</v>
      </c>
      <c r="H166" s="70">
        <f t="shared" si="110"/>
        <v>222.1695666666667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5.9412741393316544E-14</v>
      </c>
      <c r="P166" s="14">
        <f t="shared" si="141"/>
        <v>9.483138037075782E-13</v>
      </c>
      <c r="Q166" s="22">
        <f t="shared" si="162"/>
        <v>1.7551237327173916E-12</v>
      </c>
      <c r="R166" s="62">
        <f t="shared" si="109"/>
        <v>291.0412667223992</v>
      </c>
      <c r="S166" s="62">
        <f ca="1">AVERAGE(OFFSET($R$3,0,0,'Données projet'!$E$9+1,1))-AVERAGE(OFFSET($H$3,0,0,'Données projet'!$E$9+1,1))</f>
        <v>326.68822125342342</v>
      </c>
      <c r="T166" s="62">
        <f t="shared" si="142"/>
        <v>332.44447101343894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251.79502399207217</v>
      </c>
      <c r="AO166" s="62">
        <f t="shared" si="144"/>
        <v>353.30085932455904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0.13387722506944644</v>
      </c>
      <c r="AV166" s="23">
        <f>EXP(-LN(2)/25)*AV165+(1-EXP(-LN(2)/25))/(LN(2)/25)*Calculateur!AQ166*Calculateur!AS166*VLOOKUP('Données projet'!$B$10,Paramètres!$A$1:$I$89,3,0)*0.475*44/12</f>
        <v>3.6411686997945336E-2</v>
      </c>
      <c r="AW166" s="23">
        <f>EXP(-LN(2)/2)*AW165+(1-EXP(-LN(2)/2))/(LN(2)/2)*AQ166*AT166*VLOOKUP('Données projet'!$B$10,Paramètres!$A$1:$I$89,3,0)*0.475*44/12</f>
        <v>2.7408073012294154E-20</v>
      </c>
      <c r="AX166" s="23">
        <f t="shared" si="166"/>
        <v>0.17028891206739177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69.374890924290213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1.4255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5.2268333333333334</v>
      </c>
      <c r="H167" s="70">
        <f t="shared" si="110"/>
        <v>222.1695666666667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5.9412741393316544E-14</v>
      </c>
      <c r="P167" s="14">
        <f t="shared" si="141"/>
        <v>9.483138037075782E-13</v>
      </c>
      <c r="Q167" s="22">
        <f t="shared" si="162"/>
        <v>1.7551237327173916E-12</v>
      </c>
      <c r="R167" s="62">
        <f t="shared" si="109"/>
        <v>291.08102895380568</v>
      </c>
      <c r="S167" s="62">
        <f ca="1">AVERAGE(OFFSET($R$3,0,0,'Données projet'!$E$9+1,1))-AVERAGE(OFFSET($H$3,0,0,'Données projet'!$E$9+1,1))</f>
        <v>326.68822125342342</v>
      </c>
      <c r="T167" s="62">
        <f t="shared" si="142"/>
        <v>332.44447101343894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251.79502399207217</v>
      </c>
      <c r="AO167" s="62">
        <f t="shared" si="144"/>
        <v>353.30085932455904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0.13125197434287891</v>
      </c>
      <c r="AV167" s="23">
        <f>EXP(-LN(2)/25)*AV166+(1-EXP(-LN(2)/25))/(LN(2)/25)*Calculateur!AQ167*Calculateur!AS167*VLOOKUP('Données projet'!$B$10,Paramètres!$A$1:$I$89,3,0)*0.475*44/12</f>
        <v>3.5416007502179124E-2</v>
      </c>
      <c r="AW167" s="23">
        <f>EXP(-LN(2)/2)*AW166+(1-EXP(-LN(2)/2))/(LN(2)/2)*AQ167*AT167*VLOOKUP('Données projet'!$B$10,Paramètres!$A$1:$I$89,3,0)*0.475*44/12</f>
        <v>1.9380434286249201E-20</v>
      </c>
      <c r="AX167" s="23">
        <f t="shared" si="166"/>
        <v>0.16666798184505804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69.385735169219259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1.4255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5.2268333333333334</v>
      </c>
      <c r="H168" s="70">
        <f t="shared" si="110"/>
        <v>222.1695666666667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5.9412741393316544E-14</v>
      </c>
      <c r="P168" s="14">
        <f t="shared" si="141"/>
        <v>9.483138037075782E-13</v>
      </c>
      <c r="Q168" s="22">
        <f t="shared" si="162"/>
        <v>1.7551237327173916E-12</v>
      </c>
      <c r="R168" s="62">
        <f t="shared" si="109"/>
        <v>291.1201013993923</v>
      </c>
      <c r="S168" s="62">
        <f ca="1">AVERAGE(OFFSET($R$3,0,0,'Données projet'!$E$9+1,1))-AVERAGE(OFFSET($H$3,0,0,'Données projet'!$E$9+1,1))</f>
        <v>326.68822125342342</v>
      </c>
      <c r="T168" s="62">
        <f t="shared" si="142"/>
        <v>332.44447101343894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251.79502399207217</v>
      </c>
      <c r="AO168" s="62">
        <f t="shared" si="144"/>
        <v>353.30085932455904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0.12867820318181455</v>
      </c>
      <c r="AV168" s="23">
        <f>EXP(-LN(2)/25)*AV167+(1-EXP(-LN(2)/25))/(LN(2)/25)*Calculateur!AQ168*Calculateur!AS168*VLOOKUP('Données projet'!$B$10,Paramètres!$A$1:$I$89,3,0)*0.475*44/12</f>
        <v>3.4447554914585149E-2</v>
      </c>
      <c r="AW168" s="23">
        <f>EXP(-LN(2)/2)*AW167+(1-EXP(-LN(2)/2))/(LN(2)/2)*AQ168*AT168*VLOOKUP('Données projet'!$B$10,Paramètres!$A$1:$I$89,3,0)*0.475*44/12</f>
        <v>1.3704036506147077E-20</v>
      </c>
      <c r="AX168" s="23">
        <f t="shared" si="166"/>
        <v>0.1631257580963997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69.396391290742869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1.4255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5.2268333333333334</v>
      </c>
      <c r="H169" s="70">
        <f t="shared" si="110"/>
        <v>222.1695666666667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5.9412741393316544E-14</v>
      </c>
      <c r="P169" s="14">
        <f t="shared" si="141"/>
        <v>9.483138037075782E-13</v>
      </c>
      <c r="Q169" s="22">
        <f t="shared" si="162"/>
        <v>1.7551237327173916E-12</v>
      </c>
      <c r="R169" s="62">
        <f t="shared" si="109"/>
        <v>291.15849602540084</v>
      </c>
      <c r="S169" s="62">
        <f ca="1">AVERAGE(OFFSET($R$3,0,0,'Données projet'!$E$9+1,1))-AVERAGE(OFFSET($H$3,0,0,'Données projet'!$E$9+1,1))</f>
        <v>326.68822125342342</v>
      </c>
      <c r="T169" s="62">
        <f t="shared" si="142"/>
        <v>332.44447101343894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251.79502399207217</v>
      </c>
      <c r="AO169" s="62">
        <f t="shared" si="144"/>
        <v>353.30085932455904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0.12615490210337327</v>
      </c>
      <c r="AV169" s="23">
        <f>EXP(-LN(2)/25)*AV168+(1-EXP(-LN(2)/25))/(LN(2)/25)*Calculateur!AQ169*Calculateur!AS169*VLOOKUP('Données projet'!$B$10,Paramètres!$A$1:$I$89,3,0)*0.475*44/12</f>
        <v>3.3505584713927637E-2</v>
      </c>
      <c r="AW169" s="23">
        <f>EXP(-LN(2)/2)*AW168+(1-EXP(-LN(2)/2))/(LN(2)/2)*AQ169*AT169*VLOOKUP('Données projet'!$B$10,Paramètres!$A$1:$I$89,3,0)*0.475*44/12</f>
        <v>9.6902171431246005E-21</v>
      </c>
      <c r="AX169" s="23">
        <f t="shared" si="166"/>
        <v>0.15966048681730091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69.406862552381568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1.4255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5.2268333333333334</v>
      </c>
      <c r="H170" s="70">
        <f t="shared" si="110"/>
        <v>222.1695666666667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5.9412741393316544E-14</v>
      </c>
      <c r="P170" s="14">
        <f t="shared" si="141"/>
        <v>9.483138037075782E-13</v>
      </c>
      <c r="Q170" s="22">
        <f t="shared" si="162"/>
        <v>1.7551237327173916E-12</v>
      </c>
      <c r="R170" s="62">
        <f t="shared" si="109"/>
        <v>291.19622459048577</v>
      </c>
      <c r="S170" s="62">
        <f ca="1">AVERAGE(OFFSET($R$3,0,0,'Données projet'!$E$9+1,1))-AVERAGE(OFFSET($H$3,0,0,'Données projet'!$E$9+1,1))</f>
        <v>326.68822125342342</v>
      </c>
      <c r="T170" s="62">
        <f t="shared" si="142"/>
        <v>332.44447101343894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251.79502399207217</v>
      </c>
      <c r="AO170" s="62">
        <f t="shared" si="144"/>
        <v>353.30085932455904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0.12368108142001853</v>
      </c>
      <c r="AV170" s="23">
        <f>EXP(-LN(2)/25)*AV169+(1-EXP(-LN(2)/25))/(LN(2)/25)*Calculateur!AQ170*Calculateur!AS170*VLOOKUP('Données projet'!$B$10,Paramètres!$A$1:$I$89,3,0)*0.475*44/12</f>
        <v>3.2589372737943163E-2</v>
      </c>
      <c r="AW170" s="23">
        <f>EXP(-LN(2)/2)*AW169+(1-EXP(-LN(2)/2))/(LN(2)/2)*AQ170*AT170*VLOOKUP('Données projet'!$B$10,Paramètres!$A$1:$I$89,3,0)*0.475*44/12</f>
        <v>6.8520182530735385E-21</v>
      </c>
      <c r="AX170" s="23">
        <f t="shared" si="166"/>
        <v>0.1562704541579617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69.417152161041088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1.4255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5.2268333333333334</v>
      </c>
      <c r="H171" s="70">
        <f t="shared" si="110"/>
        <v>222.1695666666667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5.9412741393316544E-14</v>
      </c>
      <c r="P171" s="14">
        <f t="shared" si="141"/>
        <v>9.483138037075782E-13</v>
      </c>
      <c r="Q171" s="22">
        <f t="shared" si="162"/>
        <v>1.7551237327173916E-12</v>
      </c>
      <c r="R171" s="62">
        <f t="shared" si="109"/>
        <v>291.2332986493148</v>
      </c>
      <c r="S171" s="62">
        <f ca="1">AVERAGE(OFFSET($R$3,0,0,'Données projet'!$E$9+1,1))-AVERAGE(OFFSET($H$3,0,0,'Données projet'!$E$9+1,1))</f>
        <v>326.68822125342342</v>
      </c>
      <c r="T171" s="62">
        <f t="shared" si="142"/>
        <v>332.44447101343894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251.79502399207217</v>
      </c>
      <c r="AO171" s="62">
        <f t="shared" si="144"/>
        <v>353.30085932455904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0.12125577085138275</v>
      </c>
      <c r="AV171" s="23">
        <f>EXP(-LN(2)/25)*AV170+(1-EXP(-LN(2)/25))/(LN(2)/25)*Calculateur!AQ171*Calculateur!AS171*VLOOKUP('Données projet'!$B$10,Paramètres!$A$1:$I$89,3,0)*0.475*44/12</f>
        <v>3.1698214626623478E-2</v>
      </c>
      <c r="AW171" s="23">
        <f>EXP(-LN(2)/2)*AW170+(1-EXP(-LN(2)/2))/(LN(2)/2)*AQ171*AT171*VLOOKUP('Données projet'!$B$10,Paramètres!$A$1:$I$89,3,0)*0.475*44/12</f>
        <v>4.8451085715623002E-21</v>
      </c>
      <c r="AX171" s="23">
        <f t="shared" si="166"/>
        <v>0.15295398547800623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69.427263267994462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1.4255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5.2268333333333334</v>
      </c>
      <c r="H172" s="70">
        <f t="shared" si="110"/>
        <v>222.1695666666667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5.9412741393316544E-14</v>
      </c>
      <c r="P172" s="14">
        <f t="shared" si="141"/>
        <v>9.483138037075782E-13</v>
      </c>
      <c r="Q172" s="22">
        <f t="shared" si="162"/>
        <v>1.7551237327173916E-12</v>
      </c>
      <c r="R172" s="62">
        <f t="shared" si="109"/>
        <v>291.26972955610836</v>
      </c>
      <c r="S172" s="62">
        <f ca="1">AVERAGE(OFFSET($R$3,0,0,'Données projet'!$E$9+1,1))-AVERAGE(OFFSET($H$3,0,0,'Données projet'!$E$9+1,1))</f>
        <v>326.68822125342342</v>
      </c>
      <c r="T172" s="62">
        <f t="shared" si="142"/>
        <v>332.44447101343894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251.79502399207217</v>
      </c>
      <c r="AO172" s="62">
        <f t="shared" si="144"/>
        <v>353.30085932455904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0.11887801914370454</v>
      </c>
      <c r="AV172" s="23">
        <f>EXP(-LN(2)/25)*AV171+(1-EXP(-LN(2)/25))/(LN(2)/25)*Calculateur!AQ172*Calculateur!AS172*VLOOKUP('Données projet'!$B$10,Paramètres!$A$1:$I$89,3,0)*0.475*44/12</f>
        <v>3.0831425280721799E-2</v>
      </c>
      <c r="AW172" s="23">
        <f>EXP(-LN(2)/2)*AW171+(1-EXP(-LN(2)/2))/(LN(2)/2)*AQ172*AT172*VLOOKUP('Données projet'!$B$10,Paramètres!$A$1:$I$89,3,0)*0.475*44/12</f>
        <v>3.4260091265367692E-21</v>
      </c>
      <c r="AX172" s="23">
        <f t="shared" si="166"/>
        <v>0.14970944442442632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69.437198969847245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1.4255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5.2268333333333334</v>
      </c>
      <c r="H173" s="70">
        <f t="shared" si="110"/>
        <v>222.1695666666667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5.9412741393316544E-14</v>
      </c>
      <c r="P173" s="14">
        <f t="shared" si="141"/>
        <v>9.483138037075782E-13</v>
      </c>
      <c r="Q173" s="22">
        <f t="shared" si="162"/>
        <v>1.7551237327173916E-12</v>
      </c>
      <c r="R173" s="62">
        <f t="shared" si="109"/>
        <v>291.30552846811634</v>
      </c>
      <c r="S173" s="62">
        <f ca="1">AVERAGE(OFFSET($R$3,0,0,'Données projet'!$E$9+1,1))-AVERAGE(OFFSET($H$3,0,0,'Données projet'!$E$9+1,1))</f>
        <v>326.68822125342342</v>
      </c>
      <c r="T173" s="62">
        <f t="shared" si="142"/>
        <v>332.44447101343894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251.79502399207217</v>
      </c>
      <c r="AO173" s="62">
        <f t="shared" si="144"/>
        <v>353.30085932455904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0.11654689369672855</v>
      </c>
      <c r="AV173" s="23">
        <f>EXP(-LN(2)/25)*AV172+(1-EXP(-LN(2)/25))/(LN(2)/25)*Calculateur!AQ173*Calculateur!AS173*VLOOKUP('Données projet'!$B$10,Paramètres!$A$1:$I$89,3,0)*0.475*44/12</f>
        <v>2.9988338335066273E-2</v>
      </c>
      <c r="AW173" s="23">
        <f>EXP(-LN(2)/2)*AW172+(1-EXP(-LN(2)/2))/(LN(2)/2)*AQ173*AT173*VLOOKUP('Données projet'!$B$10,Paramètres!$A$1:$I$89,3,0)*0.475*44/12</f>
        <v>2.4225542857811501E-21</v>
      </c>
      <c r="AX173" s="23">
        <f t="shared" si="166"/>
        <v>0.14653523203179483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69.446962309485798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1.4255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5.2268333333333334</v>
      </c>
      <c r="H174" s="70">
        <f t="shared" si="110"/>
        <v>222.1695666666667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5.9412741393316544E-14</v>
      </c>
      <c r="P174" s="14">
        <f t="shared" si="141"/>
        <v>9.483138037075782E-13</v>
      </c>
      <c r="Q174" s="22">
        <f t="shared" si="162"/>
        <v>1.7551237327173916E-12</v>
      </c>
      <c r="R174" s="62">
        <f t="shared" si="109"/>
        <v>291.34070634903537</v>
      </c>
      <c r="S174" s="62">
        <f ca="1">AVERAGE(OFFSET($R$3,0,0,'Données projet'!$E$9+1,1))-AVERAGE(OFFSET($H$3,0,0,'Données projet'!$E$9+1,1))</f>
        <v>326.68822125342342</v>
      </c>
      <c r="T174" s="62">
        <f t="shared" si="142"/>
        <v>332.44447101343894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251.79502399207217</v>
      </c>
      <c r="AO174" s="62">
        <f t="shared" si="144"/>
        <v>353.30085932455904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0.11426148019792164</v>
      </c>
      <c r="AV174" s="23">
        <f>EXP(-LN(2)/25)*AV173+(1-EXP(-LN(2)/25))/(LN(2)/25)*Calculateur!AQ174*Calculateur!AS174*VLOOKUP('Données projet'!$B$10,Paramètres!$A$1:$I$89,3,0)*0.475*44/12</f>
        <v>2.9168305646275712E-2</v>
      </c>
      <c r="AW174" s="23">
        <f>EXP(-LN(2)/2)*AW173+(1-EXP(-LN(2)/2))/(LN(2)/2)*AQ174*AT174*VLOOKUP('Données projet'!$B$10,Paramètres!$A$1:$I$89,3,0)*0.475*44/12</f>
        <v>1.7130045632683846E-21</v>
      </c>
      <c r="AX174" s="23">
        <f t="shared" si="166"/>
        <v>0.14342978584419735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69.45655627700917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1.4255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5.2268333333333334</v>
      </c>
      <c r="H175" s="70">
        <f t="shared" si="110"/>
        <v>222.1695666666667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5.9412741393316544E-14</v>
      </c>
      <c r="P175" s="14">
        <f t="shared" si="141"/>
        <v>9.483138037075782E-13</v>
      </c>
      <c r="Q175" s="22">
        <f t="shared" si="162"/>
        <v>1.7551237327173916E-12</v>
      </c>
      <c r="R175" s="62">
        <f t="shared" si="109"/>
        <v>291.37527397236636</v>
      </c>
      <c r="S175" s="62">
        <f ca="1">AVERAGE(OFFSET($R$3,0,0,'Données projet'!$E$9+1,1))-AVERAGE(OFFSET($H$3,0,0,'Données projet'!$E$9+1,1))</f>
        <v>326.68822125342342</v>
      </c>
      <c r="T175" s="62">
        <f t="shared" si="142"/>
        <v>332.44447101343894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251.79502399207217</v>
      </c>
      <c r="AO175" s="62">
        <f t="shared" si="144"/>
        <v>353.30085932455904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0.11202088226386174</v>
      </c>
      <c r="AV175" s="23">
        <f>EXP(-LN(2)/25)*AV174+(1-EXP(-LN(2)/25))/(LN(2)/25)*Calculateur!AQ175*Calculateur!AS175*VLOOKUP('Données projet'!$B$10,Paramètres!$A$1:$I$89,3,0)*0.475*44/12</f>
        <v>2.8370696794483775E-2</v>
      </c>
      <c r="AW175" s="23">
        <f>EXP(-LN(2)/2)*AW174+(1-EXP(-LN(2)/2))/(LN(2)/2)*AQ175*AT175*VLOOKUP('Données projet'!$B$10,Paramètres!$A$1:$I$89,3,0)*0.475*44/12</f>
        <v>1.2112771428905751E-21</v>
      </c>
      <c r="AX175" s="23">
        <f t="shared" si="166"/>
        <v>0.14039157905834551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69.4659838106449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1.4255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5.2268333333333334</v>
      </c>
      <c r="H176" s="70">
        <f t="shared" si="110"/>
        <v>222.1695666666667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5.9412741393316544E-14</v>
      </c>
      <c r="P176" s="14">
        <f t="shared" si="141"/>
        <v>9.483138037075782E-13</v>
      </c>
      <c r="Q176" s="22">
        <f t="shared" si="162"/>
        <v>1.7551237327173916E-12</v>
      </c>
      <c r="R176" s="62">
        <f t="shared" si="109"/>
        <v>291.40924192471431</v>
      </c>
      <c r="S176" s="62">
        <f ca="1">AVERAGE(OFFSET($R$3,0,0,'Données projet'!$E$9+1,1))-AVERAGE(OFFSET($H$3,0,0,'Données projet'!$E$9+1,1))</f>
        <v>326.68822125342342</v>
      </c>
      <c r="T176" s="62">
        <f t="shared" si="142"/>
        <v>332.44447101343894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251.79502399207217</v>
      </c>
      <c r="AO176" s="62">
        <f t="shared" si="144"/>
        <v>353.30085932455904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0.10982422108865895</v>
      </c>
      <c r="AV176" s="23">
        <f>EXP(-LN(2)/25)*AV175+(1-EXP(-LN(2)/25))/(LN(2)/25)*Calculateur!AQ176*Calculateur!AS176*VLOOKUP('Données projet'!$B$10,Paramètres!$A$1:$I$89,3,0)*0.475*44/12</f>
        <v>2.7594898598688515E-2</v>
      </c>
      <c r="AW176" s="23">
        <f>EXP(-LN(2)/2)*AW175+(1-EXP(-LN(2)/2))/(LN(2)/2)*AQ176*AT176*VLOOKUP('Données projet'!$B$10,Paramètres!$A$1:$I$89,3,0)*0.475*44/12</f>
        <v>8.5650228163419231E-22</v>
      </c>
      <c r="AX176" s="23">
        <f t="shared" si="166"/>
        <v>0.13741911968734746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69.475247797648876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1.4255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5.2268333333333334</v>
      </c>
      <c r="H177" s="70">
        <f t="shared" si="110"/>
        <v>222.1695666666667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5.9412741393316544E-14</v>
      </c>
      <c r="P177" s="14">
        <f t="shared" si="141"/>
        <v>9.483138037075782E-13</v>
      </c>
      <c r="Q177" s="22">
        <f t="shared" si="162"/>
        <v>1.7551237327173916E-12</v>
      </c>
      <c r="R177" s="62">
        <f t="shared" si="109"/>
        <v>291.44262060902992</v>
      </c>
      <c r="S177" s="62">
        <f ca="1">AVERAGE(OFFSET($R$3,0,0,'Données projet'!$E$9+1,1))-AVERAGE(OFFSET($H$3,0,0,'Données projet'!$E$9+1,1))</f>
        <v>326.68822125342342</v>
      </c>
      <c r="T177" s="62">
        <f t="shared" si="142"/>
        <v>332.44447101343894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251.79502399207217</v>
      </c>
      <c r="AO177" s="62">
        <f t="shared" si="144"/>
        <v>353.30085932455904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0.10767063509927088</v>
      </c>
      <c r="AV177" s="23">
        <f>EXP(-LN(2)/25)*AV176+(1-EXP(-LN(2)/25))/(LN(2)/25)*Calculateur!AQ177*Calculateur!AS177*VLOOKUP('Données projet'!$B$10,Paramètres!$A$1:$I$89,3,0)*0.475*44/12</f>
        <v>2.6840314645354729E-2</v>
      </c>
      <c r="AW177" s="23">
        <f>EXP(-LN(2)/2)*AW176+(1-EXP(-LN(2)/2))/(LN(2)/2)*AQ177*AT177*VLOOKUP('Données projet'!$B$10,Paramètres!$A$1:$I$89,3,0)*0.475*44/12</f>
        <v>6.0563857144528753E-22</v>
      </c>
      <c r="AX177" s="23">
        <f t="shared" si="166"/>
        <v>0.1345109497446256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69.484351075189494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1.4255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5.2268333333333334</v>
      </c>
      <c r="H178" s="70">
        <f t="shared" si="110"/>
        <v>222.1695666666667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5.9412741393316544E-14</v>
      </c>
      <c r="P178" s="14">
        <f t="shared" si="141"/>
        <v>9.483138037075782E-13</v>
      </c>
      <c r="Q178" s="22">
        <f t="shared" si="162"/>
        <v>1.7551237327173916E-12</v>
      </c>
      <c r="R178" s="62">
        <f t="shared" si="109"/>
        <v>291.47542024779619</v>
      </c>
      <c r="S178" s="62">
        <f ca="1">AVERAGE(OFFSET($R$3,0,0,'Données projet'!$E$9+1,1))-AVERAGE(OFFSET($H$3,0,0,'Données projet'!$E$9+1,1))</f>
        <v>326.68822125342342</v>
      </c>
      <c r="T178" s="62">
        <f t="shared" si="142"/>
        <v>332.44447101343894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251.79502399207217</v>
      </c>
      <c r="AO178" s="62">
        <f t="shared" si="144"/>
        <v>353.30085932455904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0.10555927961757697</v>
      </c>
      <c r="AV178" s="23">
        <f>EXP(-LN(2)/25)*AV177+(1-EXP(-LN(2)/25))/(LN(2)/25)*Calculateur!AQ178*Calculateur!AS178*VLOOKUP('Données projet'!$B$10,Paramètres!$A$1:$I$89,3,0)*0.475*44/12</f>
        <v>2.6106364829906702E-2</v>
      </c>
      <c r="AW178" s="23">
        <f>EXP(-LN(2)/2)*AW177+(1-EXP(-LN(2)/2))/(LN(2)/2)*AQ178*AT178*VLOOKUP('Données projet'!$B$10,Paramètres!$A$1:$I$89,3,0)*0.475*44/12</f>
        <v>4.2825114081709615E-22</v>
      </c>
      <c r="AX178" s="23">
        <f t="shared" si="166"/>
        <v>0.13166564444748366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69.493296431216663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1.4255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5.2268333333333334</v>
      </c>
      <c r="H179" s="70">
        <f t="shared" si="110"/>
        <v>222.1695666666667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5.9412741393316544E-14</v>
      </c>
      <c r="P179" s="14">
        <f t="shared" si="141"/>
        <v>9.483138037075782E-13</v>
      </c>
      <c r="Q179" s="22">
        <f t="shared" si="162"/>
        <v>1.7551237327173916E-12</v>
      </c>
      <c r="R179" s="62">
        <f t="shared" si="109"/>
        <v>291.5076508861589</v>
      </c>
      <c r="S179" s="62">
        <f ca="1">AVERAGE(OFFSET($R$3,0,0,'Données projet'!$E$9+1,1))-AVERAGE(OFFSET($H$3,0,0,'Données projet'!$E$9+1,1))</f>
        <v>326.68822125342342</v>
      </c>
      <c r="T179" s="62">
        <f t="shared" si="142"/>
        <v>332.44447101343894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251.79502399207217</v>
      </c>
      <c r="AO179" s="62">
        <f t="shared" si="144"/>
        <v>353.30085932455904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0.10348932652907938</v>
      </c>
      <c r="AV179" s="23">
        <f>EXP(-LN(2)/25)*AV178+(1-EXP(-LN(2)/25))/(LN(2)/25)*Calculateur!AQ179*Calculateur!AS179*VLOOKUP('Données projet'!$B$10,Paramètres!$A$1:$I$89,3,0)*0.475*44/12</f>
        <v>2.5392484910758843E-2</v>
      </c>
      <c r="AW179" s="23">
        <f>EXP(-LN(2)/2)*AW178+(1-EXP(-LN(2)/2))/(LN(2)/2)*AQ179*AT179*VLOOKUP('Données projet'!$B$10,Paramètres!$A$1:$I$89,3,0)*0.475*44/12</f>
        <v>3.0281928572264377E-22</v>
      </c>
      <c r="AX179" s="23">
        <f t="shared" si="166"/>
        <v>0.12888181143983823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69.502086605315583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1.4255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5.2268333333333334</v>
      </c>
      <c r="H180" s="70">
        <f t="shared" si="110"/>
        <v>222.1695666666667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5.9412741393316544E-14</v>
      </c>
      <c r="P180" s="14">
        <f t="shared" si="141"/>
        <v>9.483138037075782E-13</v>
      </c>
      <c r="Q180" s="22">
        <f t="shared" si="162"/>
        <v>1.7551237327173916E-12</v>
      </c>
      <c r="R180" s="62">
        <f t="shared" si="109"/>
        <v>291.53932239500296</v>
      </c>
      <c r="S180" s="62">
        <f ca="1">AVERAGE(OFFSET($R$3,0,0,'Données projet'!$E$9+1,1))-AVERAGE(OFFSET($H$3,0,0,'Données projet'!$E$9+1,1))</f>
        <v>326.68822125342342</v>
      </c>
      <c r="T180" s="62">
        <f t="shared" si="142"/>
        <v>332.44447101343894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251.79502399207217</v>
      </c>
      <c r="AO180" s="62">
        <f t="shared" si="144"/>
        <v>353.30085932455904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0.10145996395810052</v>
      </c>
      <c r="AV180" s="23">
        <f>EXP(-LN(2)/25)*AV179+(1-EXP(-LN(2)/25))/(LN(2)/25)*Calculateur!AQ180*Calculateur!AS180*VLOOKUP('Données projet'!$B$10,Paramètres!$A$1:$I$89,3,0)*0.475*44/12</f>
        <v>2.4698126075541397E-2</v>
      </c>
      <c r="AW180" s="23">
        <f>EXP(-LN(2)/2)*AW179+(1-EXP(-LN(2)/2))/(LN(2)/2)*AQ180*AT180*VLOOKUP('Données projet'!$B$10,Paramètres!$A$1:$I$89,3,0)*0.475*44/12</f>
        <v>2.1412557040854808E-22</v>
      </c>
      <c r="AX180" s="23">
        <f t="shared" si="166"/>
        <v>0.12615809003364192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69.510724289545777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1.4255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5.2268333333333334</v>
      </c>
      <c r="H181" s="70">
        <f t="shared" si="110"/>
        <v>222.1695666666667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5.9412741393316544E-14</v>
      </c>
      <c r="P181" s="14">
        <f t="shared" si="141"/>
        <v>9.483138037075782E-13</v>
      </c>
      <c r="Q181" s="22">
        <f t="shared" si="162"/>
        <v>1.7551237327173916E-12</v>
      </c>
      <c r="R181" s="62">
        <f t="shared" si="109"/>
        <v>291.57044447397539</v>
      </c>
      <c r="S181" s="62">
        <f ca="1">AVERAGE(OFFSET($R$3,0,0,'Données projet'!$E$9+1,1))-AVERAGE(OFFSET($H$3,0,0,'Données projet'!$E$9+1,1))</f>
        <v>326.68822125342342</v>
      </c>
      <c r="T181" s="62">
        <f t="shared" si="142"/>
        <v>332.44447101343894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251.79502399207217</v>
      </c>
      <c r="AO181" s="62">
        <f t="shared" si="144"/>
        <v>353.30085932455904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9.9470395949349602E-2</v>
      </c>
      <c r="AV181" s="23">
        <f>EXP(-LN(2)/25)*AV180+(1-EXP(-LN(2)/25))/(LN(2)/25)*Calculateur!AQ181*Calculateur!AS181*VLOOKUP('Données projet'!$B$10,Paramètres!$A$1:$I$89,3,0)*0.475*44/12</f>
        <v>2.4022754519187714E-2</v>
      </c>
      <c r="AW181" s="23">
        <f>EXP(-LN(2)/2)*AW180+(1-EXP(-LN(2)/2))/(LN(2)/2)*AQ181*AT181*VLOOKUP('Données projet'!$B$10,Paramètres!$A$1:$I$89,3,0)*0.475*44/12</f>
        <v>1.5140964286132188E-22</v>
      </c>
      <c r="AX181" s="23">
        <f t="shared" si="166"/>
        <v>0.12349315046853732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69.51921212926554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1.4255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5.2268333333333334</v>
      </c>
      <c r="H182" s="70">
        <f t="shared" si="110"/>
        <v>222.1695666666667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5.9412741393316544E-14</v>
      </c>
      <c r="P182" s="14">
        <f t="shared" si="141"/>
        <v>9.483138037075782E-13</v>
      </c>
      <c r="Q182" s="22">
        <f t="shared" si="162"/>
        <v>1.7551237327173916E-12</v>
      </c>
      <c r="R182" s="62">
        <f t="shared" si="109"/>
        <v>291.60102665445618</v>
      </c>
      <c r="S182" s="62">
        <f ca="1">AVERAGE(OFFSET($R$3,0,0,'Données projet'!$E$9+1,1))-AVERAGE(OFFSET($H$3,0,0,'Données projet'!$E$9+1,1))</f>
        <v>326.68822125342342</v>
      </c>
      <c r="T182" s="62">
        <f t="shared" si="142"/>
        <v>332.44447101343894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251.79502399207217</v>
      </c>
      <c r="AO182" s="62">
        <f t="shared" si="144"/>
        <v>353.30085932455904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9.751984215573363E-2</v>
      </c>
      <c r="AV182" s="23">
        <f>EXP(-LN(2)/25)*AV181+(1-EXP(-LN(2)/25))/(LN(2)/25)*Calculateur!AQ182*Calculateur!AS182*VLOOKUP('Données projet'!$B$10,Paramètres!$A$1:$I$89,3,0)*0.475*44/12</f>
        <v>2.336585103355877E-2</v>
      </c>
      <c r="AW182" s="23">
        <f>EXP(-LN(2)/2)*AW181+(1-EXP(-LN(2)/2))/(LN(2)/2)*AQ182*AT182*VLOOKUP('Données projet'!$B$10,Paramètres!$A$1:$I$89,3,0)*0.475*44/12</f>
        <v>1.0706278520427404E-22</v>
      </c>
      <c r="AX182" s="23">
        <f t="shared" si="166"/>
        <v>0.1208856931892924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69.527552723942122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1.4255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5.2268333333333334</v>
      </c>
      <c r="H183" s="70">
        <f t="shared" si="110"/>
        <v>222.1695666666667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5.9412741393316544E-14</v>
      </c>
      <c r="P183" s="14">
        <f t="shared" si="141"/>
        <v>9.483138037075782E-13</v>
      </c>
      <c r="Q183" s="22">
        <f t="shared" si="162"/>
        <v>1.7551237327173916E-12</v>
      </c>
      <c r="R183" s="62">
        <f t="shared" si="109"/>
        <v>291.63107830247725</v>
      </c>
      <c r="S183" s="62">
        <f ca="1">AVERAGE(OFFSET($R$3,0,0,'Données projet'!$E$9+1,1))-AVERAGE(OFFSET($H$3,0,0,'Données projet'!$E$9+1,1))</f>
        <v>326.68822125342342</v>
      </c>
      <c r="T183" s="62">
        <f t="shared" si="142"/>
        <v>332.44447101343894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251.79502399207217</v>
      </c>
      <c r="AO183" s="62">
        <f t="shared" si="144"/>
        <v>353.30085932455904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9.5607537532290121E-2</v>
      </c>
      <c r="AV183" s="23">
        <f>EXP(-LN(2)/25)*AV182+(1-EXP(-LN(2)/25))/(LN(2)/25)*Calculateur!AQ183*Calculateur!AS183*VLOOKUP('Données projet'!$B$10,Paramètres!$A$1:$I$89,3,0)*0.475*44/12</f>
        <v>2.2726910608289404E-2</v>
      </c>
      <c r="AW183" s="23">
        <f>EXP(-LN(2)/2)*AW182+(1-EXP(-LN(2)/2))/(LN(2)/2)*AQ183*AT183*VLOOKUP('Données projet'!$B$10,Paramètres!$A$1:$I$89,3,0)*0.475*44/12</f>
        <v>7.5704821430660941E-23</v>
      </c>
      <c r="AX183" s="23">
        <f t="shared" si="166"/>
        <v>0.11833444814057953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69.535748627947868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1.4255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5.2268333333333334</v>
      </c>
      <c r="H184" s="70">
        <f t="shared" si="110"/>
        <v>222.1695666666667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5.9412741393316544E-14</v>
      </c>
      <c r="P184" s="14">
        <f t="shared" si="141"/>
        <v>9.483138037075782E-13</v>
      </c>
      <c r="Q184" s="22">
        <f t="shared" si="162"/>
        <v>1.7551237327173916E-12</v>
      </c>
      <c r="R184" s="62">
        <f t="shared" si="109"/>
        <v>291.66060862159048</v>
      </c>
      <c r="S184" s="62">
        <f ca="1">AVERAGE(OFFSET($R$3,0,0,'Données projet'!$E$9+1,1))-AVERAGE(OFFSET($H$3,0,0,'Données projet'!$E$9+1,1))</f>
        <v>326.68822125342342</v>
      </c>
      <c r="T184" s="62">
        <f t="shared" si="142"/>
        <v>332.44447101343894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251.79502399207217</v>
      </c>
      <c r="AO184" s="62">
        <f t="shared" si="144"/>
        <v>353.30085932455904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9.3732732036121688E-2</v>
      </c>
      <c r="AV184" s="23">
        <f>EXP(-LN(2)/25)*AV183+(1-EXP(-LN(2)/25))/(LN(2)/25)*Calculateur!AQ184*Calculateur!AS184*VLOOKUP('Données projet'!$B$10,Paramètres!$A$1:$I$89,3,0)*0.475*44/12</f>
        <v>2.2105442042549446E-2</v>
      </c>
      <c r="AW184" s="23">
        <f>EXP(-LN(2)/2)*AW183+(1-EXP(-LN(2)/2))/(LN(2)/2)*AQ184*AT184*VLOOKUP('Données projet'!$B$10,Paramètres!$A$1:$I$89,3,0)*0.475*44/12</f>
        <v>5.3531392602137019E-23</v>
      </c>
      <c r="AX184" s="23">
        <f t="shared" si="166"/>
        <v>0.11583817407867114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69.543802351342379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1.4255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5.2268333333333334</v>
      </c>
      <c r="H185" s="70">
        <f t="shared" si="110"/>
        <v>222.1695666666667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5.9412741393316544E-14</v>
      </c>
      <c r="P185" s="14">
        <f t="shared" si="141"/>
        <v>9.483138037075782E-13</v>
      </c>
      <c r="Q185" s="22">
        <f t="shared" si="162"/>
        <v>1.7551237327173916E-12</v>
      </c>
      <c r="R185" s="62">
        <f t="shared" si="109"/>
        <v>291.68962665568711</v>
      </c>
      <c r="S185" s="62">
        <f ca="1">AVERAGE(OFFSET($R$3,0,0,'Données projet'!$E$9+1,1))-AVERAGE(OFFSET($H$3,0,0,'Données projet'!$E$9+1,1))</f>
        <v>326.68822125342342</v>
      </c>
      <c r="T185" s="62">
        <f t="shared" si="142"/>
        <v>332.44447101343894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251.79502399207217</v>
      </c>
      <c r="AO185" s="62">
        <f t="shared" si="144"/>
        <v>353.30085932455904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9.1894690332214687E-2</v>
      </c>
      <c r="AV185" s="23">
        <f>EXP(-LN(2)/25)*AV184+(1-EXP(-LN(2)/25))/(LN(2)/25)*Calculateur!AQ185*Calculateur!AS185*VLOOKUP('Données projet'!$B$10,Paramètres!$A$1:$I$89,3,0)*0.475*44/12</f>
        <v>2.1500967567421259E-2</v>
      </c>
      <c r="AW185" s="23">
        <f>EXP(-LN(2)/2)*AW184+(1-EXP(-LN(2)/2))/(LN(2)/2)*AQ185*AT185*VLOOKUP('Données projet'!$B$10,Paramètres!$A$1:$I$89,3,0)*0.475*44/12</f>
        <v>3.7852410715330471E-23</v>
      </c>
      <c r="AX185" s="23">
        <f t="shared" si="166"/>
        <v>0.11339565789963595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69.55171636064145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1.4255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5.2268333333333334</v>
      </c>
      <c r="H186" s="70">
        <f t="shared" si="110"/>
        <v>222.1695666666667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5.9412741393316544E-14</v>
      </c>
      <c r="P186" s="14">
        <f t="shared" si="141"/>
        <v>9.483138037075782E-13</v>
      </c>
      <c r="Q186" s="22">
        <f t="shared" si="162"/>
        <v>1.7551237327173916E-12</v>
      </c>
      <c r="R186" s="62">
        <f t="shared" si="109"/>
        <v>291.71814129176664</v>
      </c>
      <c r="S186" s="62">
        <f ca="1">AVERAGE(OFFSET($R$3,0,0,'Données projet'!$E$9+1,1))-AVERAGE(OFFSET($H$3,0,0,'Données projet'!$E$9+1,1))</f>
        <v>326.68822125342342</v>
      </c>
      <c r="T186" s="62">
        <f t="shared" si="142"/>
        <v>332.44447101343894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251.79502399207217</v>
      </c>
      <c r="AO186" s="62">
        <f t="shared" si="144"/>
        <v>353.30085932455904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9.0092691505026565E-2</v>
      </c>
      <c r="AV186" s="23">
        <f>EXP(-LN(2)/25)*AV185+(1-EXP(-LN(2)/25))/(LN(2)/25)*Calculateur!AQ186*Calculateur!AS186*VLOOKUP('Données projet'!$B$10,Paramètres!$A$1:$I$89,3,0)*0.475*44/12</f>
        <v>2.0913022478603382E-2</v>
      </c>
      <c r="AW186" s="23">
        <f>EXP(-LN(2)/2)*AW185+(1-EXP(-LN(2)/2))/(LN(2)/2)*AQ186*AT186*VLOOKUP('Données projet'!$B$10,Paramètres!$A$1:$I$89,3,0)*0.475*44/12</f>
        <v>2.676569630106851E-23</v>
      </c>
      <c r="AX186" s="23">
        <f t="shared" si="166"/>
        <v>0.11100571398362995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69.559493079572235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1.4255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5.2268333333333334</v>
      </c>
      <c r="H187" s="70">
        <f t="shared" si="110"/>
        <v>222.1695666666667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5.9412741393316544E-14</v>
      </c>
      <c r="P187" s="14">
        <f t="shared" si="141"/>
        <v>9.483138037075782E-13</v>
      </c>
      <c r="Q187" s="22">
        <f t="shared" si="162"/>
        <v>1.7551237327173916E-12</v>
      </c>
      <c r="R187" s="62">
        <f t="shared" si="109"/>
        <v>291.74616126265937</v>
      </c>
      <c r="S187" s="62">
        <f ca="1">AVERAGE(OFFSET($R$3,0,0,'Données projet'!$E$9+1,1))-AVERAGE(OFFSET($H$3,0,0,'Données projet'!$E$9+1,1))</f>
        <v>326.68822125342342</v>
      </c>
      <c r="T187" s="62">
        <f t="shared" si="142"/>
        <v>332.44447101343894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251.79502399207217</v>
      </c>
      <c r="AO187" s="62">
        <f t="shared" si="144"/>
        <v>353.30085932455904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8.8326028775728843E-2</v>
      </c>
      <c r="AV187" s="23">
        <f>EXP(-LN(2)/25)*AV186+(1-EXP(-LN(2)/25))/(LN(2)/25)*Calculateur!AQ187*Calculateur!AS187*VLOOKUP('Données projet'!$B$10,Paramètres!$A$1:$I$89,3,0)*0.475*44/12</f>
        <v>2.0341154779157919E-2</v>
      </c>
      <c r="AW187" s="23">
        <f>EXP(-LN(2)/2)*AW186+(1-EXP(-LN(2)/2))/(LN(2)/2)*AQ187*AT187*VLOOKUP('Données projet'!$B$10,Paramètres!$A$1:$I$89,3,0)*0.475*44/12</f>
        <v>1.8926205357665235E-23</v>
      </c>
      <c r="AX187" s="23">
        <f t="shared" si="166"/>
        <v>0.10866718355488676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69.567134889815719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1.4255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5.2268333333333334</v>
      </c>
      <c r="H188" s="70">
        <f t="shared" si="110"/>
        <v>222.1695666666667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5.9412741393316544E-14</v>
      </c>
      <c r="P188" s="14">
        <f t="shared" si="141"/>
        <v>9.483138037075782E-13</v>
      </c>
      <c r="Q188" s="22">
        <f t="shared" si="162"/>
        <v>1.7551237327173916E-12</v>
      </c>
      <c r="R188" s="62">
        <f t="shared" si="109"/>
        <v>291.77369514970053</v>
      </c>
      <c r="S188" s="62">
        <f ca="1">AVERAGE(OFFSET($R$3,0,0,'Données projet'!$E$9+1,1))-AVERAGE(OFFSET($H$3,0,0,'Données projet'!$E$9+1,1))</f>
        <v>326.68822125342342</v>
      </c>
      <c r="T188" s="62">
        <f t="shared" si="142"/>
        <v>332.44447101343894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251.79502399207217</v>
      </c>
      <c r="AO188" s="62">
        <f t="shared" si="144"/>
        <v>353.30085932455904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8.6594009224994786E-2</v>
      </c>
      <c r="AV188" s="23">
        <f>EXP(-LN(2)/25)*AV187+(1-EXP(-LN(2)/25))/(LN(2)/25)*Calculateur!AQ188*Calculateur!AS188*VLOOKUP('Données projet'!$B$10,Paramètres!$A$1:$I$89,3,0)*0.475*44/12</f>
        <v>1.9784924832027005E-2</v>
      </c>
      <c r="AW188" s="23">
        <f>EXP(-LN(2)/2)*AW187+(1-EXP(-LN(2)/2))/(LN(2)/2)*AQ188*AT188*VLOOKUP('Données projet'!$B$10,Paramètres!$A$1:$I$89,3,0)*0.475*44/12</f>
        <v>1.3382848150534255E-23</v>
      </c>
      <c r="AX188" s="23">
        <f t="shared" si="166"/>
        <v>0.10637893405702178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69.574644131736022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1.4255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5.2268333333333334</v>
      </c>
      <c r="H189" s="70">
        <f t="shared" si="110"/>
        <v>222.1695666666667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5.9412741393316544E-14</v>
      </c>
      <c r="P189" s="14">
        <f t="shared" si="141"/>
        <v>9.483138037075782E-13</v>
      </c>
      <c r="Q189" s="22">
        <f t="shared" si="162"/>
        <v>1.7551237327173916E-12</v>
      </c>
      <c r="R189" s="62">
        <f t="shared" si="109"/>
        <v>291.8007513853579</v>
      </c>
      <c r="S189" s="62">
        <f ca="1">AVERAGE(OFFSET($R$3,0,0,'Données projet'!$E$9+1,1))-AVERAGE(OFFSET($H$3,0,0,'Données projet'!$E$9+1,1))</f>
        <v>326.68822125342342</v>
      </c>
      <c r="T189" s="62">
        <f t="shared" si="142"/>
        <v>332.44447101343894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251.79502399207217</v>
      </c>
      <c r="AO189" s="62">
        <f t="shared" si="144"/>
        <v>353.30085932455904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8.4895953521223005E-2</v>
      </c>
      <c r="AV189" s="23">
        <f>EXP(-LN(2)/25)*AV188+(1-EXP(-LN(2)/25))/(LN(2)/25)*Calculateur!AQ189*Calculateur!AS189*VLOOKUP('Données projet'!$B$10,Paramètres!$A$1:$I$89,3,0)*0.475*44/12</f>
        <v>1.9243905022051248E-2</v>
      </c>
      <c r="AW189" s="23">
        <f>EXP(-LN(2)/2)*AW188+(1-EXP(-LN(2)/2))/(LN(2)/2)*AQ189*AT189*VLOOKUP('Données projet'!$B$10,Paramètres!$A$1:$I$89,3,0)*0.475*44/12</f>
        <v>9.4631026788326177E-24</v>
      </c>
      <c r="AX189" s="23">
        <f t="shared" si="166"/>
        <v>0.10413985854327426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69.582023105097136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1.4255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5.2268333333333334</v>
      </c>
      <c r="H190" s="70">
        <f t="shared" si="110"/>
        <v>222.1695666666667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5.9412741393316544E-14</v>
      </c>
      <c r="P190" s="14">
        <f t="shared" si="141"/>
        <v>9.483138037075782E-13</v>
      </c>
      <c r="Q190" s="22">
        <f t="shared" si="162"/>
        <v>1.7551237327173916E-12</v>
      </c>
      <c r="R190" s="62">
        <f t="shared" si="109"/>
        <v>291.82733825581539</v>
      </c>
      <c r="S190" s="62">
        <f ca="1">AVERAGE(OFFSET($R$3,0,0,'Données projet'!$E$9+1,1))-AVERAGE(OFFSET($H$3,0,0,'Données projet'!$E$9+1,1))</f>
        <v>326.68822125342342</v>
      </c>
      <c r="T190" s="62">
        <f t="shared" si="142"/>
        <v>332.44447101343894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251.79502399207217</v>
      </c>
      <c r="AO190" s="62">
        <f t="shared" si="144"/>
        <v>353.30085932455904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8.3231195654090484E-2</v>
      </c>
      <c r="AV190" s="23">
        <f>EXP(-LN(2)/25)*AV189+(1-EXP(-LN(2)/25))/(LN(2)/25)*Calculateur!AQ190*Calculateur!AS190*VLOOKUP('Données projet'!$B$10,Paramètres!$A$1:$I$89,3,0)*0.475*44/12</f>
        <v>1.8717679427230273E-2</v>
      </c>
      <c r="AW190" s="23">
        <f>EXP(-LN(2)/2)*AW189+(1-EXP(-LN(2)/2))/(LN(2)/2)*AQ190*AT190*VLOOKUP('Données projet'!$B$10,Paramètres!$A$1:$I$89,3,0)*0.475*44/12</f>
        <v>6.6914240752671274E-24</v>
      </c>
      <c r="AX190" s="23">
        <f t="shared" si="166"/>
        <v>0.10194887508132075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69.589274069767356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1.4255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5.2268333333333334</v>
      </c>
      <c r="H191" s="70">
        <f t="shared" si="110"/>
        <v>222.1695666666667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5.9412741393316544E-14</v>
      </c>
      <c r="P191" s="14">
        <f t="shared" si="141"/>
        <v>9.483138037075782E-13</v>
      </c>
      <c r="Q191" s="22">
        <f t="shared" si="162"/>
        <v>1.7551237327173916E-12</v>
      </c>
      <c r="R191" s="62">
        <f t="shared" si="109"/>
        <v>291.85346390350981</v>
      </c>
      <c r="S191" s="62">
        <f ca="1">AVERAGE(OFFSET($R$3,0,0,'Données projet'!$E$9+1,1))-AVERAGE(OFFSET($H$3,0,0,'Données projet'!$E$9+1,1))</f>
        <v>326.68822125342342</v>
      </c>
      <c r="T191" s="62">
        <f t="shared" si="142"/>
        <v>332.44447101343894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251.79502399207217</v>
      </c>
      <c r="AO191" s="62">
        <f t="shared" si="144"/>
        <v>353.30085932455904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8.1599082673330395E-2</v>
      </c>
      <c r="AV191" s="23">
        <f>EXP(-LN(2)/25)*AV190+(1-EXP(-LN(2)/25))/(LN(2)/25)*Calculateur!AQ191*Calculateur!AS191*VLOOKUP('Données projet'!$B$10,Paramètres!$A$1:$I$89,3,0)*0.475*44/12</f>
        <v>1.8205843498972678E-2</v>
      </c>
      <c r="AW191" s="23">
        <f>EXP(-LN(2)/2)*AW190+(1-EXP(-LN(2)/2))/(LN(2)/2)*AQ191*AT191*VLOOKUP('Données projet'!$B$10,Paramètres!$A$1:$I$89,3,0)*0.475*44/12</f>
        <v>4.7315513394163088E-24</v>
      </c>
      <c r="AX191" s="23">
        <f t="shared" si="166"/>
        <v>9.9804926172303077E-2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69.596399246411281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1.4255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5.2268333333333334</v>
      </c>
      <c r="H192" s="70">
        <f t="shared" si="110"/>
        <v>222.1695666666667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5.9412741393316544E-14</v>
      </c>
      <c r="P192" s="14">
        <f t="shared" si="141"/>
        <v>9.483138037075782E-13</v>
      </c>
      <c r="Q192" s="22">
        <f t="shared" si="162"/>
        <v>1.7551237327173916E-12</v>
      </c>
      <c r="R192" s="62">
        <f t="shared" si="109"/>
        <v>291.87913632962483</v>
      </c>
      <c r="S192" s="62">
        <f ca="1">AVERAGE(OFFSET($R$3,0,0,'Données projet'!$E$9+1,1))-AVERAGE(OFFSET($H$3,0,0,'Données projet'!$E$9+1,1))</f>
        <v>326.68822125342342</v>
      </c>
      <c r="T192" s="62">
        <f t="shared" si="142"/>
        <v>332.44447101343894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251.79502399207217</v>
      </c>
      <c r="AO192" s="62">
        <f t="shared" si="144"/>
        <v>353.30085932455904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7.9998974432632389E-2</v>
      </c>
      <c r="AV192" s="23">
        <f>EXP(-LN(2)/25)*AV191+(1-EXP(-LN(2)/25))/(LN(2)/25)*Calculateur!AQ192*Calculateur!AS192*VLOOKUP('Données projet'!$B$10,Paramètres!$A$1:$I$89,3,0)*0.475*44/12</f>
        <v>1.7708003751089572E-2</v>
      </c>
      <c r="AW192" s="23">
        <f>EXP(-LN(2)/2)*AW191+(1-EXP(-LN(2)/2))/(LN(2)/2)*AQ192*AT192*VLOOKUP('Données projet'!$B$10,Paramètres!$A$1:$I$89,3,0)*0.475*44/12</f>
        <v>3.3457120376335637E-24</v>
      </c>
      <c r="AX192" s="23">
        <f t="shared" si="166"/>
        <v>9.7706978183721954E-2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69.603400817169927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1.4255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5.2268333333333334</v>
      </c>
      <c r="H193" s="70">
        <f t="shared" si="110"/>
        <v>222.1695666666667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5.9412741393316544E-14</v>
      </c>
      <c r="P193" s="14">
        <f t="shared" si="141"/>
        <v>9.483138037075782E-13</v>
      </c>
      <c r="Q193" s="22">
        <f t="shared" si="162"/>
        <v>1.7551237327173916E-12</v>
      </c>
      <c r="R193" s="62">
        <f t="shared" si="109"/>
        <v>291.90436339654178</v>
      </c>
      <c r="S193" s="62">
        <f ca="1">AVERAGE(OFFSET($R$3,0,0,'Données projet'!$E$9+1,1))-AVERAGE(OFFSET($H$3,0,0,'Données projet'!$E$9+1,1))</f>
        <v>326.68822125342342</v>
      </c>
      <c r="T193" s="62">
        <f t="shared" si="142"/>
        <v>332.44447101343894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251.79502399207217</v>
      </c>
      <c r="AO193" s="62">
        <f t="shared" si="144"/>
        <v>353.30085932455904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7.8430243338564812E-2</v>
      </c>
      <c r="AV193" s="23">
        <f>EXP(-LN(2)/25)*AV192+(1-EXP(-LN(2)/25))/(LN(2)/25)*Calculateur!AQ193*Calculateur!AS193*VLOOKUP('Données projet'!$B$10,Paramètres!$A$1:$I$89,3,0)*0.475*44/12</f>
        <v>1.7223777457292581E-2</v>
      </c>
      <c r="AW193" s="23">
        <f>EXP(-LN(2)/2)*AW192+(1-EXP(-LN(2)/2))/(LN(2)/2)*AQ193*AT193*VLOOKUP('Données projet'!$B$10,Paramètres!$A$1:$I$89,3,0)*0.475*44/12</f>
        <v>2.3657756697081544E-24</v>
      </c>
      <c r="AX193" s="23">
        <f t="shared" si="166"/>
        <v>9.5654020795857386E-2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69.610280926329096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1.4255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5.2268333333333334</v>
      </c>
      <c r="H194" s="70">
        <f t="shared" si="110"/>
        <v>222.1695666666667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5.9412741393316544E-14</v>
      </c>
      <c r="P194" s="14">
        <f t="shared" si="141"/>
        <v>9.483138037075782E-13</v>
      </c>
      <c r="Q194" s="22">
        <f t="shared" si="162"/>
        <v>1.7551237327173916E-12</v>
      </c>
      <c r="R194" s="62">
        <f t="shared" si="109"/>
        <v>291.92915283024701</v>
      </c>
      <c r="S194" s="62">
        <f ca="1">AVERAGE(OFFSET($R$3,0,0,'Données projet'!$E$9+1,1))-AVERAGE(OFFSET($H$3,0,0,'Données projet'!$E$9+1,1))</f>
        <v>326.68822125342342</v>
      </c>
      <c r="T194" s="62">
        <f t="shared" si="142"/>
        <v>332.44447101343894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251.79502399207217</v>
      </c>
      <c r="AO194" s="62">
        <f t="shared" si="144"/>
        <v>353.30085932455904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7.6892274104420413E-2</v>
      </c>
      <c r="AV194" s="23">
        <f>EXP(-LN(2)/25)*AV193+(1-EXP(-LN(2)/25))/(LN(2)/25)*Calculateur!AQ194*Calculateur!AS194*VLOOKUP('Données projet'!$B$10,Paramètres!$A$1:$I$89,3,0)*0.475*44/12</f>
        <v>1.6752792356963826E-2</v>
      </c>
      <c r="AW194" s="23">
        <f>EXP(-LN(2)/2)*AW193+(1-EXP(-LN(2)/2))/(LN(2)/2)*AQ194*AT194*VLOOKUP('Données projet'!$B$10,Paramètres!$A$1:$I$89,3,0)*0.475*44/12</f>
        <v>1.6728560188167819E-24</v>
      </c>
      <c r="AX194" s="23">
        <f t="shared" si="166"/>
        <v>9.3645066461384235E-2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69.617041680975973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1.4255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5.2268333333333334</v>
      </c>
      <c r="H195" s="70">
        <f t="shared" si="110"/>
        <v>222.1695666666667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5.9412741393316544E-14</v>
      </c>
      <c r="P195" s="14">
        <f t="shared" si="141"/>
        <v>9.483138037075782E-13</v>
      </c>
      <c r="Q195" s="22">
        <f t="shared" si="162"/>
        <v>1.7551237327173916E-12</v>
      </c>
      <c r="R195" s="62">
        <f t="shared" ref="R195:R203" si="191">Q195+(I195+J195)*44/12</f>
        <v>291.95351222269824</v>
      </c>
      <c r="S195" s="62">
        <f ca="1">AVERAGE(OFFSET($R$3,0,0,'Données projet'!$E$9+1,1))-AVERAGE(OFFSET($H$3,0,0,'Données projet'!$E$9+1,1))</f>
        <v>326.68822125342342</v>
      </c>
      <c r="T195" s="62">
        <f t="shared" si="142"/>
        <v>332.44447101343894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251.79502399207217</v>
      </c>
      <c r="AO195" s="62">
        <f t="shared" si="144"/>
        <v>353.30085932455904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7.5384463508888971E-2</v>
      </c>
      <c r="AV195" s="23">
        <f>EXP(-LN(2)/25)*AV194+(1-EXP(-LN(2)/25))/(LN(2)/25)*Calculateur!AQ195*Calculateur!AS195*VLOOKUP('Données projet'!$B$10,Paramètres!$A$1:$I$89,3,0)*0.475*44/12</f>
        <v>1.6294686368971589E-2</v>
      </c>
      <c r="AW195" s="23">
        <f>EXP(-LN(2)/2)*AW194+(1-EXP(-LN(2)/2))/(LN(2)/2)*AQ195*AT195*VLOOKUP('Données projet'!$B$10,Paramètres!$A$1:$I$89,3,0)*0.475*44/12</f>
        <v>1.1828878348540772E-24</v>
      </c>
      <c r="AX195" s="23">
        <f t="shared" si="166"/>
        <v>9.1679149877860563E-2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69.623685151644494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1.4255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5.2268333333333334</v>
      </c>
      <c r="H196" s="70">
        <f t="shared" ref="H196:H203" si="192">(B196+E196+F196)*44/12+(C196+D196)*0.475*44/12</f>
        <v>222.1695666666667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5.9412741393316544E-14</v>
      </c>
      <c r="P196" s="14">
        <f t="shared" si="141"/>
        <v>9.483138037075782E-13</v>
      </c>
      <c r="Q196" s="22">
        <f t="shared" si="162"/>
        <v>1.7551237327173916E-12</v>
      </c>
      <c r="R196" s="62">
        <f t="shared" si="191"/>
        <v>291.97744903414991</v>
      </c>
      <c r="S196" s="62">
        <f ca="1">AVERAGE(OFFSET($R$3,0,0,'Données projet'!$E$9+1,1))-AVERAGE(OFFSET($H$3,0,0,'Données projet'!$E$9+1,1))</f>
        <v>326.68822125342342</v>
      </c>
      <c r="T196" s="62">
        <f t="shared" si="142"/>
        <v>332.44447101343894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251.79502399207217</v>
      </c>
      <c r="AO196" s="62">
        <f t="shared" si="144"/>
        <v>353.30085932455904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7.3906220159462258E-2</v>
      </c>
      <c r="AV196" s="23">
        <f>EXP(-LN(2)/25)*AV195+(1-EXP(-LN(2)/25))/(LN(2)/25)*Calculateur!AQ196*Calculateur!AS196*VLOOKUP('Données projet'!$B$10,Paramètres!$A$1:$I$89,3,0)*0.475*44/12</f>
        <v>1.5849107313311746E-2</v>
      </c>
      <c r="AW196" s="23">
        <f>EXP(-LN(2)/2)*AW195+(1-EXP(-LN(2)/2))/(LN(2)/2)*AQ196*AT196*VLOOKUP('Données projet'!$B$10,Paramètres!$A$1:$I$89,3,0)*0.475*44/12</f>
        <v>8.3642800940839093E-25</v>
      </c>
      <c r="AX196" s="23">
        <f t="shared" si="166"/>
        <v>8.975532747277401E-2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69.630213372949498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1.4255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5.2268333333333334</v>
      </c>
      <c r="H197" s="70">
        <f t="shared" si="192"/>
        <v>222.1695666666667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5.9412741393316544E-14</v>
      </c>
      <c r="P197" s="14">
        <f t="shared" ref="P197:P203" si="203">EXP(-1.0587+0.8836*LN(O197)+0.284)</f>
        <v>9.483138037075782E-13</v>
      </c>
      <c r="Q197" s="22">
        <f t="shared" si="162"/>
        <v>1.7551237327173916E-12</v>
      </c>
      <c r="R197" s="62">
        <f t="shared" si="191"/>
        <v>292.00097059543759</v>
      </c>
      <c r="S197" s="62">
        <f ca="1">AVERAGE(OFFSET($R$3,0,0,'Données projet'!$E$9+1,1))-AVERAGE(OFFSET($H$3,0,0,'Données projet'!$E$9+1,1))</f>
        <v>326.68822125342342</v>
      </c>
      <c r="T197" s="62">
        <f t="shared" ref="T197:T203" si="204">$T$3</f>
        <v>332.44447101343894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251.79502399207217</v>
      </c>
      <c r="AO197" s="62">
        <f t="shared" ref="AO197:AO203" si="205">$AO$3</f>
        <v>353.30085932455904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7.2456964260478388E-2</v>
      </c>
      <c r="AV197" s="23">
        <f>EXP(-LN(2)/25)*AV196+(1-EXP(-LN(2)/25))/(LN(2)/25)*Calculateur!AQ197*Calculateur!AS197*VLOOKUP('Données projet'!$B$10,Paramètres!$A$1:$I$89,3,0)*0.475*44/12</f>
        <v>1.5415712640360906E-2</v>
      </c>
      <c r="AW197" s="23">
        <f>EXP(-LN(2)/2)*AW196+(1-EXP(-LN(2)/2))/(LN(2)/2)*AQ197*AT197*VLOOKUP('Données projet'!$B$10,Paramètres!$A$1:$I$89,3,0)*0.475*44/12</f>
        <v>5.914439174270386E-25</v>
      </c>
      <c r="AX197" s="23">
        <f t="shared" si="166"/>
        <v>8.7872676900839289E-2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69.636628344209782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1.4255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5.2268333333333334</v>
      </c>
      <c r="H198" s="70">
        <f t="shared" si="192"/>
        <v>222.1695666666667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5.9412741393316544E-14</v>
      </c>
      <c r="P198" s="14">
        <f t="shared" si="203"/>
        <v>9.483138037075782E-13</v>
      </c>
      <c r="Q198" s="22">
        <f t="shared" si="162"/>
        <v>1.7551237327173916E-12</v>
      </c>
      <c r="R198" s="62">
        <f t="shared" si="191"/>
        <v>292.02408411022333</v>
      </c>
      <c r="S198" s="62">
        <f ca="1">AVERAGE(OFFSET($R$3,0,0,'Données projet'!$E$9+1,1))-AVERAGE(OFFSET($H$3,0,0,'Données projet'!$E$9+1,1))</f>
        <v>326.68822125342342</v>
      </c>
      <c r="T198" s="62">
        <f t="shared" si="204"/>
        <v>332.44447101343894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251.79502399207217</v>
      </c>
      <c r="AO198" s="62">
        <f t="shared" si="205"/>
        <v>353.30085932455904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7.103612738571477E-2</v>
      </c>
      <c r="AV198" s="23">
        <f>EXP(-LN(2)/25)*AV197+(1-EXP(-LN(2)/25))/(LN(2)/25)*Calculateur!AQ198*Calculateur!AS198*VLOOKUP('Données projet'!$B$10,Paramètres!$A$1:$I$89,3,0)*0.475*44/12</f>
        <v>1.4994169167533144E-2</v>
      </c>
      <c r="AW198" s="23">
        <f>EXP(-LN(2)/2)*AW197+(1-EXP(-LN(2)/2))/(LN(2)/2)*AQ198*AT198*VLOOKUP('Données projet'!$B$10,Paramètres!$A$1:$I$89,3,0)*0.475*44/12</f>
        <v>4.1821400470419546E-25</v>
      </c>
      <c r="AX198" s="23">
        <f t="shared" si="166"/>
        <v>8.6030296553247912E-2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69.642932030060422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1.4255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5.2268333333333334</v>
      </c>
      <c r="H199" s="70">
        <f t="shared" si="192"/>
        <v>222.1695666666667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5.9412741393316544E-14</v>
      </c>
      <c r="P199" s="14">
        <f t="shared" si="203"/>
        <v>9.483138037075782E-13</v>
      </c>
      <c r="Q199" s="22">
        <f t="shared" si="162"/>
        <v>1.7551237327173916E-12</v>
      </c>
      <c r="R199" s="62">
        <f t="shared" si="191"/>
        <v>292.04679665720153</v>
      </c>
      <c r="S199" s="62">
        <f ca="1">AVERAGE(OFFSET($R$3,0,0,'Données projet'!$E$9+1,1))-AVERAGE(OFFSET($H$3,0,0,'Données projet'!$E$9+1,1))</f>
        <v>326.68822125342342</v>
      </c>
      <c r="T199" s="62">
        <f t="shared" si="204"/>
        <v>332.44447101343894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251.79502399207217</v>
      </c>
      <c r="AO199" s="62">
        <f t="shared" si="205"/>
        <v>353.30085932455904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6.9643152255440349E-2</v>
      </c>
      <c r="AV199" s="23">
        <f>EXP(-LN(2)/25)*AV198+(1-EXP(-LN(2)/25))/(LN(2)/25)*Calculateur!AQ199*Calculateur!AS199*VLOOKUP('Données projet'!$B$10,Paramètres!$A$1:$I$89,3,0)*0.475*44/12</f>
        <v>1.4584152823137863E-2</v>
      </c>
      <c r="AW199" s="23">
        <f>EXP(-LN(2)/2)*AW198+(1-EXP(-LN(2)/2))/(LN(2)/2)*AQ199*AT199*VLOOKUP('Données projet'!$B$10,Paramètres!$A$1:$I$89,3,0)*0.475*44/12</f>
        <v>2.957219587135193E-25</v>
      </c>
      <c r="AX199" s="23">
        <f t="shared" si="166"/>
        <v>8.4227305078578216E-2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69.649126361054485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1.4255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5.2268333333333334</v>
      </c>
      <c r="H200" s="70">
        <f t="shared" si="192"/>
        <v>222.1695666666667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5.9412741393316544E-14</v>
      </c>
      <c r="P200" s="14">
        <f t="shared" si="203"/>
        <v>9.483138037075782E-13</v>
      </c>
      <c r="Q200" s="22">
        <f t="shared" si="162"/>
        <v>1.7551237327173916E-12</v>
      </c>
      <c r="R200" s="62">
        <f t="shared" si="191"/>
        <v>292.0691151922673</v>
      </c>
      <c r="S200" s="62">
        <f ca="1">AVERAGE(OFFSET($R$3,0,0,'Données projet'!$E$9+1,1))-AVERAGE(OFFSET($H$3,0,0,'Données projet'!$E$9+1,1))</f>
        <v>326.68822125342342</v>
      </c>
      <c r="T200" s="62">
        <f t="shared" si="204"/>
        <v>332.44447101343894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251.79502399207217</v>
      </c>
      <c r="AO200" s="62">
        <f t="shared" si="205"/>
        <v>353.30085932455904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6.8277492517839669E-2</v>
      </c>
      <c r="AV200" s="23">
        <f>EXP(-LN(2)/25)*AV199+(1-EXP(-LN(2)/25))/(LN(2)/25)*Calculateur!AQ200*Calculateur!AS200*VLOOKUP('Données projet'!$B$10,Paramètres!$A$1:$I$89,3,0)*0.475*44/12</f>
        <v>1.4185348397241894E-2</v>
      </c>
      <c r="AW200" s="23">
        <f>EXP(-LN(2)/2)*AW199+(1-EXP(-LN(2)/2))/(LN(2)/2)*AQ200*AT200*VLOOKUP('Données projet'!$B$10,Paramètres!$A$1:$I$89,3,0)*0.475*44/12</f>
        <v>2.0910700235209773E-25</v>
      </c>
      <c r="AX200" s="23">
        <f t="shared" si="166"/>
        <v>8.2462840915081562E-2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69.655213234254248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1.4255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5.2268333333333334</v>
      </c>
      <c r="H201" s="70">
        <f t="shared" si="192"/>
        <v>222.1695666666667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5.9412741393316544E-14</v>
      </c>
      <c r="P201" s="14">
        <f t="shared" si="203"/>
        <v>9.483138037075782E-13</v>
      </c>
      <c r="Q201" s="22">
        <f t="shared" si="162"/>
        <v>1.7551237327173916E-12</v>
      </c>
      <c r="R201" s="62">
        <f t="shared" si="191"/>
        <v>292.09104655064652</v>
      </c>
      <c r="S201" s="62">
        <f ca="1">AVERAGE(OFFSET($R$3,0,0,'Données projet'!$E$9+1,1))-AVERAGE(OFFSET($H$3,0,0,'Données projet'!$E$9+1,1))</f>
        <v>326.68822125342342</v>
      </c>
      <c r="T201" s="62">
        <f t="shared" si="204"/>
        <v>332.44447101343894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251.79502399207217</v>
      </c>
      <c r="AO201" s="62">
        <f t="shared" si="205"/>
        <v>353.30085932455904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6.6938612534723149E-2</v>
      </c>
      <c r="AV201" s="23">
        <f>EXP(-LN(2)/25)*AV200+(1-EXP(-LN(2)/25))/(LN(2)/25)*Calculateur!AQ201*Calculateur!AS201*VLOOKUP('Données projet'!$B$10,Paramètres!$A$1:$I$89,3,0)*0.475*44/12</f>
        <v>1.3797449299344263E-2</v>
      </c>
      <c r="AW201" s="23">
        <f>EXP(-LN(2)/2)*AW200+(1-EXP(-LN(2)/2))/(LN(2)/2)*AQ201*AT201*VLOOKUP('Données projet'!$B$10,Paramètres!$A$1:$I$89,3,0)*0.475*44/12</f>
        <v>1.4786097935675965E-25</v>
      </c>
      <c r="AX201" s="23">
        <f t="shared" si="166"/>
        <v>8.073606183406741E-2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69.661194513812205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1.4255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5.2268333333333334</v>
      </c>
      <c r="H202" s="70">
        <f t="shared" si="192"/>
        <v>222.1695666666667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5.9412741393316544E-14</v>
      </c>
      <c r="P202" s="14">
        <f t="shared" si="203"/>
        <v>9.483138037075782E-13</v>
      </c>
      <c r="Q202" s="22">
        <f t="shared" si="162"/>
        <v>1.7551237327173916E-12</v>
      </c>
      <c r="R202" s="62">
        <f t="shared" si="191"/>
        <v>292.11259744898905</v>
      </c>
      <c r="S202" s="62">
        <f ca="1">AVERAGE(OFFSET($R$3,0,0,'Données projet'!$E$9+1,1))-AVERAGE(OFFSET($H$3,0,0,'Données projet'!$E$9+1,1))</f>
        <v>326.68822125342342</v>
      </c>
      <c r="T202" s="62">
        <f t="shared" si="204"/>
        <v>332.44447101343894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251.79502399207217</v>
      </c>
      <c r="AO202" s="62">
        <f t="shared" si="205"/>
        <v>353.30085932455904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6.5625987171439387E-2</v>
      </c>
      <c r="AV202" s="23">
        <f>EXP(-LN(2)/25)*AV201+(1-EXP(-LN(2)/25))/(LN(2)/25)*Calculateur!AQ202*Calculateur!AS202*VLOOKUP('Données projet'!$B$10,Paramètres!$A$1:$I$89,3,0)*0.475*44/12</f>
        <v>1.3420157322677369E-2</v>
      </c>
      <c r="AW202" s="23">
        <f>EXP(-LN(2)/2)*AW201+(1-EXP(-LN(2)/2))/(LN(2)/2)*AQ202*AT202*VLOOKUP('Données projet'!$B$10,Paramètres!$A$1:$I$89,3,0)*0.475*44/12</f>
        <v>1.0455350117604887E-25</v>
      </c>
      <c r="AX202" s="23">
        <f t="shared" si="166"/>
        <v>7.904614449411676E-2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69.667072031541977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1.4255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59.166200000000003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5.2268333333333334</v>
      </c>
      <c r="H203" s="70">
        <f t="shared" si="192"/>
        <v>222.1695666666667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5.9412741393316544E-14</v>
      </c>
      <c r="P203" s="14">
        <f t="shared" si="203"/>
        <v>9.483138037075782E-13</v>
      </c>
      <c r="Q203" s="22">
        <f t="shared" si="162"/>
        <v>1.7551237327173916E-12</v>
      </c>
      <c r="R203" s="62">
        <f t="shared" si="191"/>
        <v>292.1337744874258</v>
      </c>
      <c r="S203" s="62">
        <f ca="1">AVERAGE(OFFSET($R$3,0,0,'Données projet'!$E$9+1,1))-AVERAGE(OFFSET($H$3,0,0,'Données projet'!$E$9+1,1))</f>
        <v>326.68822125342342</v>
      </c>
      <c r="T203" s="62">
        <f t="shared" si="204"/>
        <v>332.44447101343894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251.79502399207217</v>
      </c>
      <c r="AO203" s="62">
        <f t="shared" si="205"/>
        <v>353.30085932455904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6.4339101590907208E-2</v>
      </c>
      <c r="AV203" s="23">
        <f>EXP(-LN(2)/25)*AV202+(1-EXP(-LN(2)/25))/(LN(2)/25)*Calculateur!AQ203*Calculateur!AS203*VLOOKUP('Données projet'!$B$10,Paramètres!$A$1:$I$89,3,0)*0.475*44/12</f>
        <v>1.3053182414953355E-2</v>
      </c>
      <c r="AW203" s="23">
        <f>EXP(-LN(2)/2)*AW202+(1-EXP(-LN(2)/2))/(LN(2)/2)*AQ203*AT203*VLOOKUP('Données projet'!$B$10,Paramètres!$A$1:$I$89,3,0)*0.475*44/12</f>
        <v>7.3930489678379826E-26</v>
      </c>
      <c r="AX203" s="23">
        <f t="shared" si="166"/>
        <v>7.7392284005860568E-2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69.672847587479282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1.2441746677543575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1.8556007362580844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7" sqref="C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0.71489999999999998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0.28510000000000002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J21" sqref="J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chevelu</v>
      </c>
      <c r="B6" s="155">
        <f>'Données projet'!D9</f>
        <v>1.2709999999999999</v>
      </c>
      <c r="C6" s="156">
        <f ca="1">IF(OR('Données projet'!B9="",'Données projet'!C9="",'Données projet'!C9=0%),0,Calculateur!S3)</f>
        <v>326.68822125342342</v>
      </c>
      <c r="D6" s="156">
        <f>IF(OR('Données projet'!B9="",'Données projet'!C9="",'Données projet'!C9=0%),0,Calculateur!T3)</f>
        <v>332.44447101343894</v>
      </c>
      <c r="E6" s="156">
        <f ca="1">MIN(C6,D6)</f>
        <v>326.68822125342342</v>
      </c>
      <c r="F6" s="156">
        <f ca="1">E6*B6</f>
        <v>415.22072921310115</v>
      </c>
      <c r="G6" s="156">
        <f ca="1">F6*(100%-'Données projet'!$C$24)*(100%-'Données projet'!$C$25)*(100%-'Données projet'!$C$26)*(100%-'Données projet'!$C$27)</f>
        <v>355.01372347720149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21.92475</v>
      </c>
      <c r="K6" s="160">
        <f>J6*(100%-'Données projet'!$C$24)*(100%-'Données projet'!$C$25)*(100%-'Données projet'!$C$26)*(100%-'Données projet'!$C$27)</f>
        <v>18.745661250000001</v>
      </c>
      <c r="L6" s="161">
        <f ca="1">G6+I6+K6</f>
        <v>373.75938472720151</v>
      </c>
      <c r="M6" s="25">
        <f ca="1">(L6/B6)</f>
        <v>294.06717917167703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1.829</v>
      </c>
      <c r="C7" s="156">
        <f ca="1">IF(OR('Données projet'!B10="",'Données projet'!C10="",'Données projet'!C10=0%),0,Calculateur!AN3)</f>
        <v>251.79502399207217</v>
      </c>
      <c r="D7" s="156">
        <f>IF(OR('Données projet'!B10="",'Données projet'!C10="",'Données projet'!C10=0%),0,Calculateur!AO3)</f>
        <v>353.30085932455904</v>
      </c>
      <c r="E7" s="156">
        <f t="shared" ref="E7:E15" ca="1" si="0">MIN(C7,D7)</f>
        <v>251.79502399207217</v>
      </c>
      <c r="F7" s="156">
        <f t="shared" ref="F7:F15" ca="1" si="1">E7*B7</f>
        <v>460.5330988815</v>
      </c>
      <c r="G7" s="156">
        <f ca="1">F7*(100%-'Données projet'!$C$24)*(100%-'Données projet'!$C$25)*(100%-'Données projet'!$C$26)*(100%-'Données projet'!$C$27)</f>
        <v>393.75579954368249</v>
      </c>
      <c r="H7" s="164">
        <f>IF(OR('Données projet'!B10="",'Données projet'!C10="",'Données projet'!C10=0%),0,AVERAGE(Calculateur!$AX$3:$AX$33)*B7)</f>
        <v>8.0386836509302615</v>
      </c>
      <c r="I7" s="158">
        <f>H7*(100%-'Données projet'!$C$24)*(100%-'Données projet'!$C$25)*(100%-'Données projet'!$C$26)*(100%-'Données projet'!$C$27)</f>
        <v>6.8730745215453739</v>
      </c>
      <c r="J7" s="159">
        <f>IF(OR('Données projet'!B10="",'Données projet'!C10="",'Données projet'!C10=0%),0,SUM(Calculateur!$AQ$3:$AQ$33)*VLOOKUP('Données projet'!$B$10,Paramètres!$A$1:$I$89,9,0)*B7)</f>
        <v>24.691499999999998</v>
      </c>
      <c r="K7" s="160">
        <f>J7*(100%-'Données projet'!$C$24)*(100%-'Données projet'!$C$25)*(100%-'Données projet'!$C$26)*(100%-'Données projet'!$C$27)</f>
        <v>21.111232499999996</v>
      </c>
      <c r="L7" s="161">
        <f t="shared" ref="L7:L15" ca="1" si="2">G7+I7+K7</f>
        <v>421.74010656522785</v>
      </c>
      <c r="M7" s="25">
        <f ca="1">(L7/1.83)</f>
        <v>230.45907462580755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875.7538280946012</v>
      </c>
      <c r="G16" s="175">
        <f t="shared" ca="1" si="3"/>
        <v>748.76952302088398</v>
      </c>
      <c r="H16" s="176">
        <f t="shared" si="3"/>
        <v>8.0386836509302615</v>
      </c>
      <c r="I16" s="176">
        <f t="shared" si="3"/>
        <v>6.8730745215453739</v>
      </c>
      <c r="J16" s="177">
        <f t="shared" si="3"/>
        <v>46.616249999999994</v>
      </c>
      <c r="K16" s="177">
        <f t="shared" si="3"/>
        <v>39.856893749999998</v>
      </c>
      <c r="L16" s="178">
        <f t="shared" ca="1" si="3"/>
        <v>795.49949129242941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chevelu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3" zoomScale="90" zoomScaleNormal="90" workbookViewId="0">
      <selection activeCell="K20" sqref="K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chevelu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1114.4488906109875</v>
      </c>
      <c r="U10" s="190">
        <f>'Données projet'!D9</f>
        <v>1.2709999999999999</v>
      </c>
      <c r="V10" s="189">
        <f>U10*T10</f>
        <v>1416.4645399665651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1557.9842098944994</v>
      </c>
      <c r="U11" s="190">
        <f>'Données projet'!D10</f>
        <v>1.829</v>
      </c>
      <c r="V11" s="189">
        <f t="shared" ref="V11" si="0">U11*T11</f>
        <v>2849.5531198970393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chevelu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5390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650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17</v>
      </c>
      <c r="C23" s="206">
        <v>8</v>
      </c>
      <c r="D23" s="194">
        <f>B23*C23</f>
        <v>136</v>
      </c>
      <c r="E23" s="206"/>
      <c r="F23" s="261"/>
      <c r="H23" s="203">
        <v>3</v>
      </c>
      <c r="I23" s="204">
        <v>650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-17982.14551412213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26</v>
      </c>
      <c r="C24" s="206">
        <v>8</v>
      </c>
      <c r="D24" s="194">
        <f t="shared" ref="D24:D42" si="2">B24*C24</f>
        <v>208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4998.7741600988647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26</v>
      </c>
      <c r="C25" s="206">
        <v>10</v>
      </c>
      <c r="D25" s="194">
        <f t="shared" si="2"/>
        <v>260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80</v>
      </c>
      <c r="Q25" s="265"/>
      <c r="R25" s="25"/>
      <c r="S25" s="198" t="s">
        <v>266</v>
      </c>
      <c r="T25" s="341">
        <f ca="1">T23-T24</f>
        <v>-22980.919674220997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25</v>
      </c>
      <c r="C26" s="206">
        <v>10</v>
      </c>
      <c r="D26" s="194">
        <f t="shared" si="2"/>
        <v>250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23</v>
      </c>
      <c r="C27" s="206">
        <v>15</v>
      </c>
      <c r="D27" s="194">
        <f t="shared" si="2"/>
        <v>345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21</v>
      </c>
      <c r="C28" s="206">
        <v>15</v>
      </c>
      <c r="D28" s="194">
        <f t="shared" si="2"/>
        <v>315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19</v>
      </c>
      <c r="C29" s="206">
        <v>25</v>
      </c>
      <c r="D29" s="194">
        <f t="shared" si="2"/>
        <v>475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18</v>
      </c>
      <c r="C30" s="206">
        <v>25</v>
      </c>
      <c r="D30" s="194">
        <f t="shared" si="2"/>
        <v>450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1612.5077935802788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16</v>
      </c>
      <c r="C31" s="206">
        <v>35</v>
      </c>
      <c r="D31" s="194">
        <f t="shared" si="2"/>
        <v>560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14</v>
      </c>
      <c r="C32" s="206">
        <v>40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12</v>
      </c>
      <c r="C33" s="206">
        <v>50</v>
      </c>
      <c r="D33" s="194">
        <f t="shared" si="2"/>
        <v>600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11</v>
      </c>
      <c r="C34" s="206">
        <v>50</v>
      </c>
      <c r="D34" s="194">
        <f t="shared" si="2"/>
        <v>550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76.555023923444978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9</v>
      </c>
      <c r="C35" s="206">
        <v>80</v>
      </c>
      <c r="D35" s="194">
        <f t="shared" si="2"/>
        <v>720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73.258396098990417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8</v>
      </c>
      <c r="C36" s="206">
        <v>80</v>
      </c>
      <c r="D36" s="194">
        <f t="shared" si="2"/>
        <v>640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70.103728324392748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193</v>
      </c>
      <c r="C37" s="206">
        <v>140</v>
      </c>
      <c r="D37" s="194">
        <f t="shared" si="2"/>
        <v>27020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67.084907487457187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64.19608372005473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61.431659062253345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58.786276614596495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56.254810157508629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53.832354217711611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51.51421456240346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49.295899102778435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47.173109189261666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45.141731281590111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43.197828977598206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41.337635385261436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39.557545823216699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37.854110835614065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36.224029507764662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34.664143069631258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33.171428774766767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2</v>
      </c>
      <c r="C54" s="204">
        <v>4</v>
      </c>
      <c r="D54" s="191">
        <f>B54*C54</f>
        <v>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31.742994042839005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15</v>
      </c>
      <c r="C55" s="204">
        <v>8</v>
      </c>
      <c r="D55" s="191">
        <f t="shared" ref="D55:D73" si="4">B55*C55</f>
        <v>120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30.376070854391404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13</v>
      </c>
      <c r="C56" s="204">
        <v>13</v>
      </c>
      <c r="D56" s="191">
        <f t="shared" si="4"/>
        <v>169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29.068010386977416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10</v>
      </c>
      <c r="C57" s="204">
        <v>19</v>
      </c>
      <c r="D57" s="191">
        <f t="shared" si="4"/>
        <v>190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27.816277882275045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8</v>
      </c>
      <c r="C58" s="204">
        <v>22</v>
      </c>
      <c r="D58" s="191">
        <f t="shared" si="4"/>
        <v>176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26.618447734234497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6</v>
      </c>
      <c r="C59" s="204">
        <v>25</v>
      </c>
      <c r="D59" s="191">
        <f t="shared" si="4"/>
        <v>150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25.472198788741153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5</v>
      </c>
      <c r="C60" s="204">
        <v>30</v>
      </c>
      <c r="D60" s="191">
        <f t="shared" si="4"/>
        <v>150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24.375309845685312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4</v>
      </c>
      <c r="C61" s="204">
        <v>37</v>
      </c>
      <c r="D61" s="191">
        <f t="shared" si="4"/>
        <v>148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23.325655354722791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198</v>
      </c>
      <c r="C62" s="204">
        <v>45</v>
      </c>
      <c r="D62" s="191">
        <f t="shared" si="4"/>
        <v>8910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22.321201296385443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21.360001240560241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20.440192574698791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19.559992894448612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18.717696549711594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17.911671339436936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17.14035534874348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16.402253922242565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15.695936767696237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15.020035184398315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14.373239410907479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13.754296086992806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13.1620058248735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12.595220885046414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12.052842952197524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11.533821006887585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11.03714928888764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2025-06-19T07:50:00Z</dcterms:modified>
</cp:coreProperties>
</file>