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Label Bas Carbone/2- Dossiers en cours/SUD-OUEST (CI)/2GAYR-124/Dossier juillet 25/"/>
    </mc:Choice>
  </mc:AlternateContent>
  <xr:revisionPtr revIDLastSave="63" documentId="8_{F0F51C65-0F77-4F81-ACC0-BF0AA19D2B7F}" xr6:coauthVersionLast="47" xr6:coauthVersionMax="47" xr10:uidLastSave="{A087877D-3365-4E54-960D-0D47A05BF735}"/>
  <bookViews>
    <workbookView xWindow="-108" yWindow="-108" windowWidth="23256" windowHeight="1389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0" i="6" l="1"/>
  <c r="E79" i="6"/>
  <c r="E48" i="6"/>
  <c r="E17" i="6"/>
  <c r="E113" i="6" l="1"/>
  <c r="E112" i="6"/>
  <c r="E111" i="6"/>
  <c r="E82" i="6"/>
  <c r="E81" i="6"/>
  <c r="E80" i="6"/>
  <c r="E51" i="6"/>
  <c r="E50" i="6"/>
  <c r="E49" i="6"/>
  <c r="E19" i="6"/>
  <c r="E18" i="6"/>
  <c r="E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0" i="6" l="1"/>
  <c r="I24" i="6"/>
  <c r="I22" i="6"/>
  <c r="U30" i="6"/>
  <c r="V10" i="6"/>
  <c r="P67" i="6"/>
  <c r="H19" i="2"/>
  <c r="D20" i="2"/>
  <c r="G20" i="2" s="1"/>
  <c r="P40" i="6"/>
  <c r="U31" i="6" l="1"/>
  <c r="U33" i="6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60" i="2" l="1"/>
  <c r="CD195" i="2"/>
  <c r="CD45" i="2"/>
  <c r="CD88" i="2"/>
  <c r="CD74" i="2"/>
  <c r="CD12" i="2"/>
  <c r="CD106" i="2"/>
  <c r="CD138" i="2"/>
  <c r="CD141" i="2"/>
  <c r="CD180" i="2"/>
  <c r="CD164" i="2"/>
  <c r="CD132" i="2"/>
  <c r="CD198" i="2"/>
  <c r="CD147" i="2"/>
  <c r="CD36" i="2"/>
  <c r="CD50" i="2"/>
  <c r="CD22" i="2"/>
  <c r="CD137" i="2"/>
  <c r="CD31" i="2"/>
  <c r="CD154" i="2"/>
  <c r="CD41" i="2"/>
  <c r="CD120" i="2"/>
  <c r="CD39" i="2"/>
  <c r="CD150" i="2"/>
  <c r="CD110" i="2"/>
  <c r="CD151" i="2"/>
  <c r="CD84" i="2"/>
  <c r="CD159" i="2"/>
  <c r="CD176" i="2"/>
  <c r="CD191" i="2"/>
  <c r="CD192" i="2"/>
  <c r="CD177" i="2"/>
  <c r="CD201" i="2"/>
  <c r="CD17" i="2"/>
  <c r="CD165" i="2"/>
  <c r="CD28" i="2"/>
  <c r="CD184" i="2"/>
  <c r="CD173" i="2"/>
  <c r="CD59" i="2"/>
  <c r="CD126" i="2"/>
  <c r="CD158" i="2"/>
  <c r="CD65" i="2"/>
  <c r="CD146" i="2"/>
  <c r="CD162" i="2"/>
  <c r="CD143" i="2"/>
  <c r="CD170" i="2"/>
  <c r="CD139" i="2"/>
  <c r="CD194" i="2"/>
  <c r="CD62" i="2"/>
  <c r="CD178" i="2"/>
  <c r="CD33" i="2"/>
  <c r="CD172" i="2"/>
  <c r="CD25" i="2"/>
  <c r="CD100" i="2"/>
  <c r="CD52" i="2"/>
  <c r="CD5" i="2"/>
  <c r="CD4" i="2"/>
  <c r="CD188" i="2"/>
  <c r="CD80" i="2"/>
  <c r="CD56" i="2"/>
  <c r="CD83" i="2"/>
  <c r="CD13" i="2"/>
  <c r="CD196" i="2"/>
  <c r="CD136" i="2"/>
  <c r="CD119" i="2"/>
  <c r="CD175" i="2"/>
  <c r="CD53" i="2"/>
  <c r="CD68" i="2"/>
  <c r="CD129" i="2"/>
  <c r="CD93" i="2"/>
  <c r="CD179" i="2"/>
  <c r="CD111" i="2"/>
  <c r="CD123" i="2"/>
  <c r="CD124" i="2"/>
  <c r="CD98" i="2"/>
  <c r="CD61" i="2"/>
  <c r="CD113" i="2"/>
  <c r="CD54" i="2"/>
  <c r="CD116" i="2"/>
  <c r="CD91" i="2"/>
  <c r="CD103" i="2"/>
  <c r="CD161" i="2"/>
  <c r="CD87" i="2"/>
  <c r="CD15" i="2"/>
  <c r="CD18" i="2"/>
  <c r="CD174" i="2"/>
  <c r="CD89" i="2"/>
  <c r="CD105" i="2"/>
  <c r="CD190" i="2"/>
  <c r="CD7" i="2"/>
  <c r="CD6" i="2"/>
  <c r="CD81" i="2"/>
  <c r="CD86" i="2"/>
  <c r="CD107" i="2"/>
  <c r="CD155" i="2"/>
  <c r="CD55" i="2"/>
  <c r="CD145" i="2"/>
  <c r="CD94" i="2"/>
  <c r="CD79" i="2"/>
  <c r="CD63" i="2"/>
  <c r="CD19" i="2"/>
  <c r="CD99" i="2"/>
  <c r="CD101" i="2"/>
  <c r="CD185" i="2"/>
  <c r="CD40" i="2"/>
  <c r="CD71" i="2"/>
  <c r="CD38" i="2"/>
  <c r="CD127" i="2"/>
  <c r="CD122" i="2"/>
  <c r="CD48" i="2"/>
  <c r="CD104" i="2"/>
  <c r="CD114" i="2"/>
  <c r="CD64" i="2"/>
  <c r="CD76" i="2"/>
  <c r="CD131" i="2"/>
  <c r="CD166" i="2"/>
  <c r="CD186" i="2"/>
  <c r="CD82" i="2"/>
  <c r="CD182" i="2"/>
  <c r="CD189" i="2"/>
  <c r="CD75" i="2"/>
  <c r="CD35" i="2"/>
  <c r="CD125" i="2"/>
  <c r="CD118" i="2"/>
  <c r="CD26" i="2"/>
  <c r="CD24" i="2"/>
  <c r="CD37" i="2"/>
  <c r="CD49" i="2"/>
  <c r="CD95" i="2"/>
  <c r="CD51" i="2"/>
  <c r="CD96" i="2"/>
  <c r="CD85" i="2"/>
  <c r="CD108" i="2"/>
  <c r="CD135" i="2"/>
  <c r="CD66" i="2"/>
  <c r="CD183" i="2"/>
  <c r="CD73" i="2"/>
  <c r="CD32" i="2"/>
  <c r="CD11" i="2"/>
  <c r="CD43" i="2"/>
  <c r="CD203" i="2"/>
  <c r="CD167" i="2"/>
  <c r="CD169" i="2"/>
  <c r="CD140" i="2"/>
  <c r="CD90" i="2"/>
  <c r="CD153" i="2"/>
  <c r="CD117" i="2"/>
  <c r="CD149" i="2"/>
  <c r="CD133" i="2"/>
  <c r="CD197" i="2"/>
  <c r="CD130" i="2"/>
  <c r="CD10" i="2"/>
  <c r="CD112" i="2"/>
  <c r="CD168" i="2"/>
  <c r="CD157" i="2"/>
  <c r="CD163" i="2"/>
  <c r="CD14" i="2"/>
  <c r="CD21" i="2"/>
  <c r="CD160" i="2"/>
  <c r="CD44" i="2"/>
  <c r="CD27" i="2"/>
  <c r="CD115" i="2"/>
  <c r="CD156" i="2"/>
  <c r="CD128" i="2"/>
  <c r="CD152" i="2"/>
  <c r="CD102" i="2"/>
  <c r="CD3" i="2"/>
  <c r="C9" i="4" s="1"/>
  <c r="E9" i="4" s="1"/>
  <c r="F9" i="4" s="1"/>
  <c r="G9" i="4" s="1"/>
  <c r="L9" i="4" s="1"/>
  <c r="CD200" i="2"/>
  <c r="CD34" i="2"/>
  <c r="CD202" i="2"/>
  <c r="CD58" i="2"/>
  <c r="CD70" i="2"/>
  <c r="CD72" i="2"/>
  <c r="CD181" i="2"/>
  <c r="CD78" i="2"/>
  <c r="CD67" i="2"/>
  <c r="CD92" i="2"/>
  <c r="CD30" i="2"/>
  <c r="CD47" i="2"/>
  <c r="CD29" i="2"/>
  <c r="CD148" i="2"/>
  <c r="CD8" i="2"/>
  <c r="CD20" i="2"/>
  <c r="CD142" i="2"/>
  <c r="CD121" i="2"/>
  <c r="CD171" i="2"/>
  <c r="CD144" i="2"/>
  <c r="CD69" i="2"/>
  <c r="CD57" i="2"/>
  <c r="CD46" i="2"/>
  <c r="CD23" i="2"/>
  <c r="CD134" i="2"/>
  <c r="CD97" i="2"/>
  <c r="CD109" i="2"/>
  <c r="CD9" i="2"/>
  <c r="CD77" i="2"/>
  <c r="CD199" i="2"/>
  <c r="CD187" i="2"/>
  <c r="CD16" i="2"/>
  <c r="CD193" i="2"/>
  <c r="CD42" i="2"/>
  <c r="AN100" i="2"/>
  <c r="AN139" i="2"/>
  <c r="AN118" i="2"/>
  <c r="AN203" i="2"/>
  <c r="AN43" i="2"/>
  <c r="AN121" i="2"/>
  <c r="AN190" i="2"/>
  <c r="AN75" i="2"/>
  <c r="AN125" i="2"/>
  <c r="AN45" i="2"/>
  <c r="AN182" i="2"/>
  <c r="AN70" i="2"/>
  <c r="AN169" i="2"/>
  <c r="AN177" i="2"/>
  <c r="AN116" i="2"/>
  <c r="AN25" i="2"/>
  <c r="AN86" i="2"/>
  <c r="AN48" i="2"/>
  <c r="AN7" i="2"/>
  <c r="AN128" i="2"/>
  <c r="AN67" i="2"/>
  <c r="AN149" i="2"/>
  <c r="AN11" i="2"/>
  <c r="AN192" i="2"/>
  <c r="AN143" i="2"/>
  <c r="AN154" i="2"/>
  <c r="AN162" i="2"/>
  <c r="AN187" i="2"/>
  <c r="AN74" i="2"/>
  <c r="AN201" i="2"/>
  <c r="AN120" i="2"/>
  <c r="AN136" i="2"/>
  <c r="AN84" i="2"/>
  <c r="AN44" i="2"/>
  <c r="AN119" i="2"/>
  <c r="AN150" i="2"/>
  <c r="AN72" i="2"/>
  <c r="AN174" i="2"/>
  <c r="AN195" i="2"/>
  <c r="AN85" i="2"/>
  <c r="AN127" i="2"/>
  <c r="AN41" i="2"/>
  <c r="AN175" i="2"/>
  <c r="AN63" i="2"/>
  <c r="AN24" i="2"/>
  <c r="AN12" i="2"/>
  <c r="AN33" i="2"/>
  <c r="AN179" i="2"/>
  <c r="AN91" i="2"/>
  <c r="AN103" i="2"/>
  <c r="AN69" i="2"/>
  <c r="AN64" i="2"/>
  <c r="AN36" i="2"/>
  <c r="AN65" i="2"/>
  <c r="AN35" i="2"/>
  <c r="AN18" i="2"/>
  <c r="AN186" i="2"/>
  <c r="AN77" i="2"/>
  <c r="AN61" i="2"/>
  <c r="AN3" i="2"/>
  <c r="C7" i="4" s="1"/>
  <c r="E7" i="4" s="1"/>
  <c r="F7" i="4" s="1"/>
  <c r="G7" i="4" s="1"/>
  <c r="L7" i="4" s="1"/>
  <c r="AN71" i="2"/>
  <c r="AN170" i="2"/>
  <c r="AN105" i="2"/>
  <c r="AN168" i="2"/>
  <c r="AN87" i="2"/>
  <c r="AN107" i="2"/>
  <c r="AN129" i="2"/>
  <c r="AN89" i="2"/>
  <c r="AN81" i="2"/>
  <c r="AN79" i="2"/>
  <c r="AN29" i="2"/>
  <c r="AN171" i="2"/>
  <c r="AN60" i="2"/>
  <c r="AN57" i="2"/>
  <c r="AN126" i="2"/>
  <c r="AN178" i="2"/>
  <c r="AN199" i="2"/>
  <c r="AN167" i="2"/>
  <c r="AN39" i="2"/>
  <c r="AN184" i="2"/>
  <c r="AN176" i="2"/>
  <c r="AN13" i="2"/>
  <c r="AN197" i="2"/>
  <c r="AN158" i="2"/>
  <c r="AN6" i="2"/>
  <c r="AN142" i="2"/>
  <c r="AN31" i="2"/>
  <c r="AN51" i="2"/>
  <c r="AN134" i="2"/>
  <c r="AN62" i="2"/>
  <c r="AN131" i="2"/>
  <c r="AN54" i="2"/>
  <c r="AN189" i="2"/>
  <c r="AN111" i="2"/>
  <c r="AN104" i="2"/>
  <c r="AN159" i="2"/>
  <c r="AN9" i="2"/>
  <c r="AN76" i="2"/>
  <c r="AN49" i="2"/>
  <c r="AN132" i="2"/>
  <c r="AN99" i="2"/>
  <c r="AN47" i="2"/>
  <c r="AN4" i="2"/>
  <c r="AN23" i="2"/>
  <c r="AN32" i="2"/>
  <c r="AN8" i="2"/>
  <c r="AN113" i="2"/>
  <c r="AN80" i="2"/>
  <c r="AN164" i="2"/>
  <c r="AN102" i="2"/>
  <c r="AN97" i="2"/>
  <c r="AN145" i="2"/>
  <c r="AN30" i="2"/>
  <c r="AN92" i="2"/>
  <c r="AN130" i="2"/>
  <c r="AN22" i="2"/>
  <c r="AN14" i="2"/>
  <c r="AN163" i="2"/>
  <c r="AN200" i="2"/>
  <c r="AN185" i="2"/>
  <c r="AN98" i="2"/>
  <c r="AN140" i="2"/>
  <c r="AN40" i="2"/>
  <c r="AN155" i="2"/>
  <c r="AN106" i="2"/>
  <c r="AN90" i="2"/>
  <c r="AN188" i="2"/>
  <c r="AN88" i="2"/>
  <c r="AN82" i="2"/>
  <c r="AN148" i="2"/>
  <c r="AN42" i="2"/>
  <c r="AN27" i="2"/>
  <c r="AN183" i="2"/>
  <c r="AN19" i="2"/>
  <c r="AN181" i="2"/>
  <c r="AN141" i="2"/>
  <c r="AN135" i="2"/>
  <c r="AN138" i="2"/>
  <c r="AN109" i="2"/>
  <c r="AN101" i="2"/>
  <c r="AN173" i="2"/>
  <c r="AN198" i="2"/>
  <c r="AN157" i="2"/>
  <c r="AN160" i="2"/>
  <c r="AN50" i="2"/>
  <c r="AN112" i="2"/>
  <c r="AN180" i="2"/>
  <c r="AN193" i="2"/>
  <c r="AN152" i="2"/>
  <c r="AN83" i="2"/>
  <c r="AN10" i="2"/>
  <c r="AN117" i="2"/>
  <c r="AN59" i="2"/>
  <c r="AN55" i="2"/>
  <c r="AN191" i="2"/>
  <c r="AN93" i="2"/>
  <c r="AN68" i="2"/>
  <c r="AN58" i="2"/>
  <c r="AN95" i="2"/>
  <c r="AN196" i="2"/>
  <c r="AN5" i="2"/>
  <c r="AN73" i="2"/>
  <c r="AN122" i="2"/>
  <c r="AN37" i="2"/>
  <c r="AN133" i="2"/>
  <c r="AN96" i="2"/>
  <c r="AN147" i="2"/>
  <c r="AN166" i="2"/>
  <c r="AN56" i="2"/>
  <c r="AN144" i="2"/>
  <c r="AN110" i="2"/>
  <c r="AN34" i="2"/>
  <c r="AN17" i="2"/>
  <c r="AN123" i="2"/>
  <c r="AN194" i="2"/>
  <c r="AN52" i="2"/>
  <c r="AN16" i="2"/>
  <c r="AN20" i="2"/>
  <c r="AN202" i="2"/>
  <c r="AN114" i="2"/>
  <c r="AN46" i="2"/>
  <c r="AN28" i="2"/>
  <c r="AN172" i="2"/>
  <c r="AN161" i="2"/>
  <c r="AN94" i="2"/>
  <c r="AN153" i="2"/>
  <c r="AN26" i="2"/>
  <c r="AN137" i="2"/>
  <c r="AN78" i="2"/>
  <c r="AN115" i="2"/>
  <c r="AN53" i="2"/>
  <c r="AN108" i="2"/>
  <c r="AN15" i="2"/>
  <c r="AN21" i="2"/>
  <c r="AN151" i="2"/>
  <c r="AN124" i="2"/>
  <c r="AN146" i="2"/>
  <c r="AN156" i="2"/>
  <c r="AN165" i="2"/>
  <c r="AN38" i="2"/>
  <c r="AN66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70" i="2"/>
  <c r="BI178" i="2"/>
  <c r="BI20" i="2"/>
  <c r="BI44" i="2"/>
  <c r="BI71" i="2"/>
  <c r="BI127" i="2"/>
  <c r="BI24" i="2"/>
  <c r="BI93" i="2"/>
  <c r="BI100" i="2"/>
  <c r="BI133" i="2"/>
  <c r="BI200" i="2"/>
  <c r="BI180" i="2"/>
  <c r="BI63" i="2"/>
  <c r="BI152" i="2"/>
  <c r="BI87" i="2"/>
  <c r="BI130" i="2"/>
  <c r="BI14" i="2"/>
  <c r="BI102" i="2"/>
  <c r="BI45" i="2"/>
  <c r="BI156" i="2"/>
  <c r="BI67" i="2"/>
  <c r="BI188" i="2"/>
  <c r="BI85" i="2"/>
  <c r="BI165" i="2"/>
  <c r="BI56" i="2"/>
  <c r="BI163" i="2"/>
  <c r="BI160" i="2"/>
  <c r="BI81" i="2"/>
  <c r="BI29" i="2"/>
  <c r="BI23" i="2"/>
  <c r="BI125" i="2"/>
  <c r="BI198" i="2"/>
  <c r="BI90" i="2"/>
  <c r="BI192" i="2"/>
  <c r="BI78" i="2"/>
  <c r="BI95" i="2"/>
  <c r="BI158" i="2"/>
  <c r="BI68" i="2"/>
  <c r="BI50" i="2"/>
  <c r="BI21" i="2"/>
  <c r="BI103" i="2"/>
  <c r="BI174" i="2"/>
  <c r="BI3" i="2"/>
  <c r="C8" i="4" s="1"/>
  <c r="E8" i="4" s="1"/>
  <c r="F8" i="4" s="1"/>
  <c r="G8" i="4" s="1"/>
  <c r="L8" i="4" s="1"/>
  <c r="BI126" i="2"/>
  <c r="BI62" i="2"/>
  <c r="BI115" i="2"/>
  <c r="BI46" i="2"/>
  <c r="BI16" i="2"/>
  <c r="BI159" i="2"/>
  <c r="BI69" i="2"/>
  <c r="BI166" i="2"/>
  <c r="BI171" i="2"/>
  <c r="BI54" i="2"/>
  <c r="BI187" i="2"/>
  <c r="BI94" i="2"/>
  <c r="BI170" i="2"/>
  <c r="BI59" i="2"/>
  <c r="BI18" i="2"/>
  <c r="BI168" i="2"/>
  <c r="BI10" i="2"/>
  <c r="BI26" i="2"/>
  <c r="BI37" i="2"/>
  <c r="BI186" i="2"/>
  <c r="BI121" i="2"/>
  <c r="BI176" i="2"/>
  <c r="BI183" i="2"/>
  <c r="BI202" i="2"/>
  <c r="BI154" i="2"/>
  <c r="BI77" i="2"/>
  <c r="BI80" i="2"/>
  <c r="BI153" i="2"/>
  <c r="BI73" i="2"/>
  <c r="BI143" i="2"/>
  <c r="BI11" i="2"/>
  <c r="BI116" i="2"/>
  <c r="BI189" i="2"/>
  <c r="BI48" i="2"/>
  <c r="BI58" i="2"/>
  <c r="BI79" i="2"/>
  <c r="BI157" i="2"/>
  <c r="BI145" i="2"/>
  <c r="BI117" i="2"/>
  <c r="BI98" i="2"/>
  <c r="BI179" i="2"/>
  <c r="BI141" i="2"/>
  <c r="BI6" i="2"/>
  <c r="BI32" i="2"/>
  <c r="BI13" i="2"/>
  <c r="BI51" i="2"/>
  <c r="BI111" i="2"/>
  <c r="BI5" i="2"/>
  <c r="BI113" i="2"/>
  <c r="BI128" i="2"/>
  <c r="BI84" i="2"/>
  <c r="BI190" i="2"/>
  <c r="BI109" i="2"/>
  <c r="BI146" i="2"/>
  <c r="BI137" i="2"/>
  <c r="BI142" i="2"/>
  <c r="BI149" i="2"/>
  <c r="BI105" i="2"/>
  <c r="BI19" i="2"/>
  <c r="BI138" i="2"/>
  <c r="BI172" i="2"/>
  <c r="BI140" i="2"/>
  <c r="BI108" i="2"/>
  <c r="BI74" i="2"/>
  <c r="BI148" i="2"/>
  <c r="BI75" i="2"/>
  <c r="BI164" i="2"/>
  <c r="BI120" i="2"/>
  <c r="BI8" i="2"/>
  <c r="BI35" i="2"/>
  <c r="BI104" i="2"/>
  <c r="BI131" i="2"/>
  <c r="BI169" i="2"/>
  <c r="BI151" i="2"/>
  <c r="BI88" i="2"/>
  <c r="BI53" i="2"/>
  <c r="BI72" i="2"/>
  <c r="BI162" i="2"/>
  <c r="BI61" i="2"/>
  <c r="BI15" i="2"/>
  <c r="BI129" i="2"/>
  <c r="BI161" i="2"/>
  <c r="BI195" i="2"/>
  <c r="BI177" i="2"/>
  <c r="BI167" i="2"/>
  <c r="BI9" i="2"/>
  <c r="BI57" i="2"/>
  <c r="BI64" i="2"/>
  <c r="BI119" i="2"/>
  <c r="BI49" i="2"/>
  <c r="BI36" i="2"/>
  <c r="BI33" i="2"/>
  <c r="BI34" i="2"/>
  <c r="BI83" i="2"/>
  <c r="BI92" i="2"/>
  <c r="BI114" i="2"/>
  <c r="BI43" i="2"/>
  <c r="BI86" i="2"/>
  <c r="BI99" i="2"/>
  <c r="BI197" i="2"/>
  <c r="BI30" i="2"/>
  <c r="BI134" i="2"/>
  <c r="BI201" i="2"/>
  <c r="BI97" i="2"/>
  <c r="BI25" i="2"/>
  <c r="BI7" i="2"/>
  <c r="BI55" i="2"/>
  <c r="BI22" i="2"/>
  <c r="BI60" i="2"/>
  <c r="BI155" i="2"/>
  <c r="BI199" i="2"/>
  <c r="BI101" i="2"/>
  <c r="BI42" i="2"/>
  <c r="BI203" i="2"/>
  <c r="BI132" i="2"/>
  <c r="BI182" i="2"/>
  <c r="BI41" i="2"/>
  <c r="BI122" i="2"/>
  <c r="BI27" i="2"/>
  <c r="BI17" i="2"/>
  <c r="BI38" i="2"/>
  <c r="BI147" i="2"/>
  <c r="BI124" i="2"/>
  <c r="BI191" i="2"/>
  <c r="BI110" i="2"/>
  <c r="BI173" i="2"/>
  <c r="BI52" i="2"/>
  <c r="BI89" i="2"/>
  <c r="BI175" i="2"/>
  <c r="BI66" i="2"/>
  <c r="BI82" i="2"/>
  <c r="BI28" i="2"/>
  <c r="BI12" i="2"/>
  <c r="BI76" i="2"/>
  <c r="BI136" i="2"/>
  <c r="BI194" i="2"/>
  <c r="BI139" i="2"/>
  <c r="BI193" i="2"/>
  <c r="BI40" i="2"/>
  <c r="BI181" i="2"/>
  <c r="BI118" i="2"/>
  <c r="BI107" i="2"/>
  <c r="BI135" i="2"/>
  <c r="BI144" i="2"/>
  <c r="BI39" i="2"/>
  <c r="BI106" i="2"/>
  <c r="BI112" i="2"/>
  <c r="BI196" i="2"/>
  <c r="BI4" i="2"/>
  <c r="BI65" i="2"/>
  <c r="BI184" i="2"/>
  <c r="BI91" i="2"/>
  <c r="BI96" i="2"/>
  <c r="BI185" i="2"/>
  <c r="BI150" i="2"/>
  <c r="BI123" i="2"/>
  <c r="BI3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tc={B3C819EE-4B6E-4380-B86B-25679C65E4F9}</author>
    <author>tc={65B221CF-EB51-4053-88C3-698AA33C54D6}</author>
    <author>tc={EE3EAB93-A0F1-4B36-B770-8FAFD7B28AFB}</author>
    <author>tc={5E5B3015-70C8-460A-A37D-7F65CF4FFC37}</author>
    <author>tc={0F1ED379-28FD-4A61-BEB0-8B3093206723}</author>
    <author>tc={9E5C99AD-8051-46C3-B2D6-D6DD0100EDDC}</author>
    <author>tc={D744106E-F2CF-43ED-AC69-229AF2A5896D}</author>
    <author>tc={7257594D-8DAD-422C-9E9C-669B29D2B07F}</author>
    <author>tc={75B96D92-B70A-44D9-9E1B-9B59EDBE4FC8}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à partir de la 6e année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B3C819EE-4B6E-4380-B86B-25679C65E4F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65B221CF-EB51-4053-88C3-698AA33C54D6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EE3EAB93-A0F1-4B36-B770-8FAFD7B28AF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5E5B3015-70C8-460A-A37D-7F65CF4FFC3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0F1ED379-28FD-4A61-BEB0-8B309320672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9E5C99AD-8051-46C3-B2D6-D6DD0100EDD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D744106E-F2CF-43ED-AC69-229AF2A5896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7257594D-8DAD-422C-9E9C-669B29D2B07F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75B96D92-B70A-44D9-9E1B-9B59EDBE4FC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<sst xmlns="http://schemas.openxmlformats.org/spreadsheetml/2006/main" count="1179" uniqueCount="329">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</sst>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7.2578049099580646</c:v>
                </c:pt>
                <c:pt idx="2">
                  <c:v>14.190651667141474</c:v>
                </c:pt>
                <c:pt idx="3">
                  <c:v>21.018553252857533</c:v>
                </c:pt>
                <c:pt idx="4">
                  <c:v>27.781764193076338</c:v>
                </c:pt>
                <c:pt idx="5">
                  <c:v>34.49852915859816</c:v>
                </c:pt>
                <c:pt idx="6">
                  <c:v>41.179255671383721</c:v>
                </c:pt>
                <c:pt idx="7">
                  <c:v>47.830653058428474</c:v>
                </c:pt>
                <c:pt idx="8">
                  <c:v>54.457394630868727</c:v>
                </c:pt>
                <c:pt idx="9">
                  <c:v>61.062915331839015</c:v>
                </c:pt>
                <c:pt idx="10">
                  <c:v>67.649842003469175</c:v>
                </c:pt>
                <c:pt idx="11">
                  <c:v>74.220245717796288</c:v>
                </c:pt>
                <c:pt idx="12">
                  <c:v>80.775799390145536</c:v>
                </c:pt>
                <c:pt idx="13">
                  <c:v>87.317881217172769</c:v>
                </c:pt>
                <c:pt idx="14">
                  <c:v>93.847645320596328</c:v>
                </c:pt>
                <c:pt idx="15">
                  <c:v>100.36607160503483</c:v>
                </c:pt>
                <c:pt idx="16">
                  <c:v>106.87400192946065</c:v>
                </c:pt>
                <c:pt idx="17">
                  <c:v>113.3721669727218</c:v>
                </c:pt>
                <c:pt idx="18">
                  <c:v>119.86120659538057</c:v>
                </c:pt>
                <c:pt idx="19">
                  <c:v>126.3416855469756</c:v>
                </c:pt>
                <c:pt idx="20">
                  <c:v>132.81410577215675</c:v>
                </c:pt>
                <c:pt idx="21">
                  <c:v>139.27891618564885</c:v>
                </c:pt>
                <c:pt idx="22">
                  <c:v>145.7365205325641</c:v>
                </c:pt>
                <c:pt idx="23">
                  <c:v>152.18728377916722</c:v>
                </c:pt>
                <c:pt idx="24">
                  <c:v>158.631537360843</c:v>
                </c:pt>
                <c:pt idx="25">
                  <c:v>165.06958353075512</c:v>
                </c:pt>
                <c:pt idx="26">
                  <c:v>171.50169899313482</c:v>
                </c:pt>
                <c:pt idx="27">
                  <c:v>177.92813796187917</c:v>
                </c:pt>
                <c:pt idx="28">
                  <c:v>184.34913475328611</c:v>
                </c:pt>
                <c:pt idx="29">
                  <c:v>190.76490599799027</c:v>
                </c:pt>
                <c:pt idx="30">
                  <c:v>197.1756525392324</c:v>
                </c:pt>
                <c:pt idx="31">
                  <c:v>203.58156107091631</c:v>
                </c:pt>
                <c:pt idx="32">
                  <c:v>209.98280555836664</c:v>
                </c:pt>
                <c:pt idx="33">
                  <c:v>216.37954847650238</c:v>
                </c:pt>
                <c:pt idx="34">
                  <c:v>222.77194189371221</c:v>
                </c:pt>
                <c:pt idx="35">
                  <c:v>229.16012842463203</c:v>
                </c:pt>
                <c:pt idx="36">
                  <c:v>235.54424207097281</c:v>
                </c:pt>
                <c:pt idx="37">
                  <c:v>241.92440896629682</c:v>
                </c:pt>
                <c:pt idx="38">
                  <c:v>248.30074803801315</c:v>
                </c:pt>
                <c:pt idx="39">
                  <c:v>254.6733715977293</c:v>
                </c:pt>
                <c:pt idx="40">
                  <c:v>261.04238586935008</c:v>
                </c:pt>
                <c:pt idx="41">
                  <c:v>267.40789146288012</c:v>
                </c:pt>
                <c:pt idx="42">
                  <c:v>273.76998380070035</c:v>
                </c:pt>
                <c:pt idx="43">
                  <c:v>280.12875350210294</c:v>
                </c:pt>
                <c:pt idx="44">
                  <c:v>286.48428673104786</c:v>
                </c:pt>
                <c:pt idx="45">
                  <c:v>292.8366655114134</c:v>
                </c:pt>
                <c:pt idx="46">
                  <c:v>299.18596801343546</c:v>
                </c:pt>
                <c:pt idx="47">
                  <c:v>305.53226881453571</c:v>
                </c:pt>
                <c:pt idx="48">
                  <c:v>311.87563913732487</c:v>
                </c:pt>
                <c:pt idx="49">
                  <c:v>318.21614706721363</c:v>
                </c:pt>
                <c:pt idx="50">
                  <c:v>324.55385775175705</c:v>
                </c:pt>
                <c:pt idx="51">
                  <c:v>330.88883358360027</c:v>
                </c:pt>
                <c:pt idx="52">
                  <c:v>242.84582202096098</c:v>
                </c:pt>
                <c:pt idx="53">
                  <c:v>255.11493587240568</c:v>
                </c:pt>
                <c:pt idx="54">
                  <c:v>267.37069905473982</c:v>
                </c:pt>
                <c:pt idx="55">
                  <c:v>279.61381001996523</c:v>
                </c:pt>
                <c:pt idx="56">
                  <c:v>291.84490102960513</c:v>
                </c:pt>
                <c:pt idx="57">
                  <c:v>304.06454699793903</c:v>
                </c:pt>
                <c:pt idx="58">
                  <c:v>316.27327283839895</c:v>
                </c:pt>
                <c:pt idx="59">
                  <c:v>328.47155961566824</c:v>
                </c:pt>
                <c:pt idx="60">
                  <c:v>340.65984973569317</c:v>
                </c:pt>
                <c:pt idx="61">
                  <c:v>352.83855135380367</c:v>
                </c:pt>
                <c:pt idx="62">
                  <c:v>365.00804214221148</c:v>
                </c:pt>
                <c:pt idx="63">
                  <c:v>377.168672528679</c:v>
                </c:pt>
                <c:pt idx="64">
                  <c:v>274.40485678736786</c:v>
                </c:pt>
                <c:pt idx="65">
                  <c:v>285.61751551336295</c:v>
                </c:pt>
                <c:pt idx="66">
                  <c:v>296.82032489091381</c:v>
                </c:pt>
                <c:pt idx="67">
                  <c:v>308.01370923446171</c:v>
                </c:pt>
                <c:pt idx="68">
                  <c:v>319.19805948534673</c:v>
                </c:pt>
                <c:pt idx="69">
                  <c:v>330.37373693916743</c:v>
                </c:pt>
                <c:pt idx="70">
                  <c:v>341.54107644218203</c:v>
                </c:pt>
                <c:pt idx="71">
                  <c:v>352.70038914763268</c:v>
                </c:pt>
                <c:pt idx="72">
                  <c:v>363.85196490487368</c:v>
                </c:pt>
                <c:pt idx="73">
                  <c:v>374.99607434021169</c:v>
                </c:pt>
                <c:pt idx="74">
                  <c:v>386.13297067740183</c:v>
                </c:pt>
                <c:pt idx="75">
                  <c:v>397.26289133710134</c:v>
                </c:pt>
                <c:pt idx="76">
                  <c:v>315.19947743069849</c:v>
                </c:pt>
                <c:pt idx="77">
                  <c:v>325.47025882589389</c:v>
                </c:pt>
                <c:pt idx="78">
                  <c:v>335.73388097490619</c:v>
                </c:pt>
                <c:pt idx="79">
                  <c:v>345.99059370648024</c:v>
                </c:pt>
                <c:pt idx="80">
                  <c:v>356.24063082093329</c:v>
                </c:pt>
                <c:pt idx="81">
                  <c:v>366.48421156004224</c:v>
                </c:pt>
                <c:pt idx="82">
                  <c:v>376.72154190394917</c:v>
                </c:pt>
                <c:pt idx="83">
                  <c:v>386.95281571968491</c:v>
                </c:pt>
                <c:pt idx="84">
                  <c:v>397.17821578184822</c:v>
                </c:pt>
                <c:pt idx="85">
                  <c:v>407.39791468265798</c:v>
                </c:pt>
                <c:pt idx="86">
                  <c:v>417.61207564590626</c:v>
                </c:pt>
                <c:pt idx="87">
                  <c:v>427.82085325710796</c:v>
                </c:pt>
                <c:pt idx="88">
                  <c:v>346.17544245653244</c:v>
                </c:pt>
                <c:pt idx="89">
                  <c:v>355.43677926715168</c:v>
                </c:pt>
                <c:pt idx="90">
                  <c:v>364.69283190482179</c:v>
                </c:pt>
                <c:pt idx="91">
                  <c:v>373.94375347059849</c:v>
                </c:pt>
                <c:pt idx="92">
                  <c:v>383.18968886818521</c:v>
                </c:pt>
                <c:pt idx="93">
                  <c:v>392.43077543433247</c:v>
                </c:pt>
                <c:pt idx="94">
                  <c:v>401.66714350673755</c:v>
                </c:pt>
                <c:pt idx="95">
                  <c:v>410.89891693696637</c:v>
                </c:pt>
                <c:pt idx="96">
                  <c:v>420.1262135548609</c:v>
                </c:pt>
                <c:pt idx="97">
                  <c:v>429.34914559000839</c:v>
                </c:pt>
                <c:pt idx="98">
                  <c:v>438.56782005509808</c:v>
                </c:pt>
                <c:pt idx="99">
                  <c:v>447.78233909535862</c:v>
                </c:pt>
                <c:pt idx="100">
                  <c:v>234.98915107025388</c:v>
                </c:pt>
                <c:pt idx="101">
                  <c:v>241.48896748845928</c:v>
                </c:pt>
                <c:pt idx="102">
                  <c:v>247.98480332174475</c:v>
                </c:pt>
                <c:pt idx="103">
                  <c:v>254.47677770137054</c:v>
                </c:pt>
                <c:pt idx="104">
                  <c:v>260.96500317535418</c:v>
                </c:pt>
                <c:pt idx="105">
                  <c:v>267.44958623057727</c:v>
                </c:pt>
                <c:pt idx="106">
                  <c:v>273.9306277615504</c:v>
                </c:pt>
                <c:pt idx="107">
                  <c:v>280.40822349244553</c:v>
                </c:pt>
                <c:pt idx="108">
                  <c:v>286.88246435805075</c:v>
                </c:pt>
                <c:pt idx="109">
                  <c:v>293.35343684850307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6.4133292260059553</c:v>
                </c:pt>
                <c:pt idx="2">
                  <c:v>12.536457709380189</c:v>
                </c:pt>
                <c:pt idx="3">
                  <c:v>18.565865920050392</c:v>
                </c:pt>
                <c:pt idx="4">
                  <c:v>24.53750277399563</c:v>
                </c:pt>
                <c:pt idx="5">
                  <c:v>30.46766149842102</c:v>
                </c:pt>
                <c:pt idx="6">
                  <c:v>36.365636430385564</c:v>
                </c:pt>
                <c:pt idx="7">
                  <c:v>42.237419269620467</c:v>
                </c:pt>
                <c:pt idx="8">
                  <c:v>48.087183471540634</c:v>
                </c:pt>
                <c:pt idx="9">
                  <c:v>53.917996578966665</c:v>
                </c:pt>
                <c:pt idx="10">
                  <c:v>59.732204467914677</c:v>
                </c:pt>
                <c:pt idx="11">
                  <c:v>65.531656689282556</c:v>
                </c:pt>
                <c:pt idx="12">
                  <c:v>71.317847223958452</c:v>
                </c:pt>
                <c:pt idx="13">
                  <c:v>77.09200685716695</c:v>
                </c:pt>
                <c:pt idx="14">
                  <c:v>82.855166266171821</c:v>
                </c:pt>
                <c:pt idx="15">
                  <c:v>88.60820054533707</c:v>
                </c:pt>
                <c:pt idx="16">
                  <c:v>94.351861508694356</c:v>
                </c:pt>
                <c:pt idx="17">
                  <c:v>100.08680168193827</c:v>
                </c:pt>
                <c:pt idx="18">
                  <c:v>105.8135924863695</c:v>
                </c:pt>
                <c:pt idx="19">
                  <c:v>111.53273826611404</c:v>
                </c:pt>
                <c:pt idx="20">
                  <c:v>117.2446872779978</c:v>
                </c:pt>
                <c:pt idx="21">
                  <c:v>122.94984042098405</c:v>
                </c:pt>
                <c:pt idx="22">
                  <c:v>128.64855825574909</c:v>
                </c:pt>
                <c:pt idx="23">
                  <c:v>134.34116671189412</c:v>
                </c:pt>
                <c:pt idx="24">
                  <c:v>140.02796177459118</c:v>
                </c:pt>
                <c:pt idx="25">
                  <c:v>145.70921336811145</c:v>
                </c:pt>
                <c:pt idx="26">
                  <c:v>151.38516860049864</c:v>
                </c:pt>
                <c:pt idx="27">
                  <c:v>157.05605449502048</c:v>
                </c:pt>
                <c:pt idx="28">
                  <c:v>162.72208030558576</c:v>
                </c:pt>
                <c:pt idx="29">
                  <c:v>168.38343949209244</c:v>
                </c:pt>
                <c:pt idx="30">
                  <c:v>174.04031141565838</c:v>
                </c:pt>
                <c:pt idx="31">
                  <c:v>179.69286280147318</c:v>
                </c:pt>
                <c:pt idx="32">
                  <c:v>185.34124900759105</c:v>
                </c:pt>
                <c:pt idx="33">
                  <c:v>190.98561513067068</c:v>
                </c:pt>
                <c:pt idx="34">
                  <c:v>196.62609697391926</c:v>
                </c:pt>
                <c:pt idx="35">
                  <c:v>202.26282189796117</c:v>
                </c:pt>
                <c:pt idx="36">
                  <c:v>207.89590957173127</c:v>
                </c:pt>
                <c:pt idx="37">
                  <c:v>213.52547263759024</c:v>
                </c:pt>
                <c:pt idx="38">
                  <c:v>219.1516173025133</c:v>
                </c:pt>
                <c:pt idx="39">
                  <c:v>224.7744438652976</c:v>
                </c:pt>
                <c:pt idx="40">
                  <c:v>230.3940471881763</c:v>
                </c:pt>
                <c:pt idx="41">
                  <c:v>236.01051711994342</c:v>
                </c:pt>
                <c:pt idx="42">
                  <c:v>241.62393887663529</c:v>
                </c:pt>
                <c:pt idx="43">
                  <c:v>192.6482552696863</c:v>
                </c:pt>
                <c:pt idx="44">
                  <c:v>206.23751123795182</c:v>
                </c:pt>
                <c:pt idx="45">
                  <c:v>219.8060776352111</c:v>
                </c:pt>
                <c:pt idx="46">
                  <c:v>233.35541202267584</c:v>
                </c:pt>
                <c:pt idx="47">
                  <c:v>246.8867887534808</c:v>
                </c:pt>
                <c:pt idx="48">
                  <c:v>260.40133099669362</c:v>
                </c:pt>
                <c:pt idx="49">
                  <c:v>273.9000357570593</c:v>
                </c:pt>
                <c:pt idx="50">
                  <c:v>287.38379369926105</c:v>
                </c:pt>
                <c:pt idx="51">
                  <c:v>249.89865132482677</c:v>
                </c:pt>
                <c:pt idx="52">
                  <c:v>263.67254332348824</c:v>
                </c:pt>
                <c:pt idx="53">
                  <c:v>277.43020831953498</c:v>
                </c:pt>
                <c:pt idx="54">
                  <c:v>291.17256451859203</c:v>
                </c:pt>
                <c:pt idx="55">
                  <c:v>304.9004363472979</c:v>
                </c:pt>
                <c:pt idx="56">
                  <c:v>318.61456791199669</c:v>
                </c:pt>
                <c:pt idx="57">
                  <c:v>332.31563401769057</c:v>
                </c:pt>
                <c:pt idx="58">
                  <c:v>346.00424927391936</c:v>
                </c:pt>
                <c:pt idx="59">
                  <c:v>294.82010245534542</c:v>
                </c:pt>
                <c:pt idx="60">
                  <c:v>308.11171423569823</c:v>
                </c:pt>
                <c:pt idx="61">
                  <c:v>321.39059256735288</c:v>
                </c:pt>
                <c:pt idx="62">
                  <c:v>334.65733776176751</c:v>
                </c:pt>
                <c:pt idx="63">
                  <c:v>347.91249863909246</c:v>
                </c:pt>
                <c:pt idx="64">
                  <c:v>361.15657877984057</c:v>
                </c:pt>
                <c:pt idx="65">
                  <c:v>374.39004181135289</c:v>
                </c:pt>
                <c:pt idx="66">
                  <c:v>387.61331590761893</c:v>
                </c:pt>
                <c:pt idx="67">
                  <c:v>328.87497984775797</c:v>
                </c:pt>
                <c:pt idx="68">
                  <c:v>341.58180489739397</c:v>
                </c:pt>
                <c:pt idx="69">
                  <c:v>354.27823926333485</c:v>
                </c:pt>
                <c:pt idx="70">
                  <c:v>366.96470784936855</c:v>
                </c:pt>
                <c:pt idx="71">
                  <c:v>379.64160377761226</c:v>
                </c:pt>
                <c:pt idx="72">
                  <c:v>392.30929177004873</c:v>
                </c:pt>
                <c:pt idx="73">
                  <c:v>404.96811107043033</c:v>
                </c:pt>
                <c:pt idx="74">
                  <c:v>417.61837798173246</c:v>
                </c:pt>
                <c:pt idx="75">
                  <c:v>362.3040596591477</c:v>
                </c:pt>
                <c:pt idx="76">
                  <c:v>374.71386582744088</c:v>
                </c:pt>
                <c:pt idx="77">
                  <c:v>387.11472026821906</c:v>
                </c:pt>
                <c:pt idx="78">
                  <c:v>399.5069501849423</c:v>
                </c:pt>
                <c:pt idx="79">
                  <c:v>411.89086082351611</c:v>
                </c:pt>
                <c:pt idx="80">
                  <c:v>424.2667375756493</c:v>
                </c:pt>
                <c:pt idx="81">
                  <c:v>436.6348478239729</c:v>
                </c:pt>
                <c:pt idx="82">
                  <c:v>448.9954425671956</c:v>
                </c:pt>
                <c:pt idx="83">
                  <c:v>461.3487578569696</c:v>
                </c:pt>
                <c:pt idx="84">
                  <c:v>473.69501607284701</c:v>
                </c:pt>
                <c:pt idx="85">
                  <c:v>397.91215722502608</c:v>
                </c:pt>
                <c:pt idx="86">
                  <c:v>409.74634558212347</c:v>
                </c:pt>
                <c:pt idx="87">
                  <c:v>421.5731551444415</c:v>
                </c:pt>
                <c:pt idx="88">
                  <c:v>433.39282211262383</c:v>
                </c:pt>
                <c:pt idx="89">
                  <c:v>445.20556875156836</c:v>
                </c:pt>
                <c:pt idx="90">
                  <c:v>457.01160456842371</c:v>
                </c:pt>
                <c:pt idx="91">
                  <c:v>468.81112736251407</c:v>
                </c:pt>
                <c:pt idx="92">
                  <c:v>480.60432416405894</c:v>
                </c:pt>
                <c:pt idx="93">
                  <c:v>492.39137207595832</c:v>
                </c:pt>
                <c:pt idx="94">
                  <c:v>504.17243903078469</c:v>
                </c:pt>
                <c:pt idx="95">
                  <c:v>427.61003253531982</c:v>
                </c:pt>
                <c:pt idx="96">
                  <c:v>439.07849472499817</c:v>
                </c:pt>
                <c:pt idx="97">
                  <c:v>450.54053438477428</c:v>
                </c:pt>
                <c:pt idx="98">
                  <c:v>461.99633795034606</c:v>
                </c:pt>
                <c:pt idx="99">
                  <c:v>473.44608185682137</c:v>
                </c:pt>
                <c:pt idx="100">
                  <c:v>484.88993330917737</c:v>
                </c:pt>
                <c:pt idx="101">
                  <c:v>496.32805097619757</c:v>
                </c:pt>
                <c:pt idx="102">
                  <c:v>507.7605856171179</c:v>
                </c:pt>
                <c:pt idx="103">
                  <c:v>519.18768064889844</c:v>
                </c:pt>
                <c:pt idx="104">
                  <c:v>530.60947266096275</c:v>
                </c:pt>
                <c:pt idx="105">
                  <c:v>456.34109665225498</c:v>
                </c:pt>
                <c:pt idx="106">
                  <c:v>467.63445077189402</c:v>
                </c:pt>
                <c:pt idx="107">
                  <c:v>478.92199388487393</c:v>
                </c:pt>
                <c:pt idx="108">
                  <c:v>490.20388225735604</c:v>
                </c:pt>
                <c:pt idx="109">
                  <c:v>501.48026437590511</c:v>
                </c:pt>
                <c:pt idx="110">
                  <c:v>512.75128150473165</c:v>
                </c:pt>
                <c:pt idx="111">
                  <c:v>524.01706819138963</c:v>
                </c:pt>
                <c:pt idx="112">
                  <c:v>535.27775272673057</c:v>
                </c:pt>
                <c:pt idx="113">
                  <c:v>546.5334575641433</c:v>
                </c:pt>
                <c:pt idx="114">
                  <c:v>557.78429970246725</c:v>
                </c:pt>
                <c:pt idx="115">
                  <c:v>489.53863965793022</c:v>
                </c:pt>
                <c:pt idx="116">
                  <c:v>500.89632761094487</c:v>
                </c:pt>
                <c:pt idx="117">
                  <c:v>512.24856596096311</c:v>
                </c:pt>
                <c:pt idx="118">
                  <c:v>523.59549249644408</c:v>
                </c:pt>
                <c:pt idx="119">
                  <c:v>534.93723854713335</c:v>
                </c:pt>
                <c:pt idx="120">
                  <c:v>546.27392942022868</c:v>
                </c:pt>
                <c:pt idx="121">
                  <c:v>557.60568479846518</c:v>
                </c:pt>
                <c:pt idx="122">
                  <c:v>568.93261910415981</c:v>
                </c:pt>
                <c:pt idx="123">
                  <c:v>580.25484183276569</c:v>
                </c:pt>
                <c:pt idx="124">
                  <c:v>591.57245785904422</c:v>
                </c:pt>
                <c:pt idx="125">
                  <c:v>528.55175001756891</c:v>
                </c:pt>
                <c:pt idx="126">
                  <c:v>540.00191836907311</c:v>
                </c:pt>
                <c:pt idx="127">
                  <c:v>551.44698757408059</c:v>
                </c:pt>
                <c:pt idx="128">
                  <c:v>562.88707836457763</c:v>
                </c:pt>
                <c:pt idx="129">
                  <c:v>574.32230616565948</c:v>
                </c:pt>
                <c:pt idx="130">
                  <c:v>585.75278143205185</c:v>
                </c:pt>
                <c:pt idx="131">
                  <c:v>597.17860995700732</c:v>
                </c:pt>
                <c:pt idx="132">
                  <c:v>608.59989315633834</c:v>
                </c:pt>
                <c:pt idx="133">
                  <c:v>620.01672833002647</c:v>
                </c:pt>
                <c:pt idx="134">
                  <c:v>631.42920890356925</c:v>
                </c:pt>
                <c:pt idx="135">
                  <c:v>565.19576710283252</c:v>
                </c:pt>
                <c:pt idx="136">
                  <c:v>576.75610298916263</c:v>
                </c:pt>
                <c:pt idx="137">
                  <c:v>588.31160433796992</c:v>
                </c:pt>
                <c:pt idx="138">
                  <c:v>599.86237947003792</c:v>
                </c:pt>
                <c:pt idx="139">
                  <c:v>611.40853219545909</c:v>
                </c:pt>
                <c:pt idx="140">
                  <c:v>622.95016208489699</c:v>
                </c:pt>
                <c:pt idx="141">
                  <c:v>634.48736471971256</c:v>
                </c:pt>
                <c:pt idx="142">
                  <c:v>646.02023192295337</c:v>
                </c:pt>
                <c:pt idx="143">
                  <c:v>657.54885197300246</c:v>
                </c:pt>
                <c:pt idx="144">
                  <c:v>669.07330980146787</c:v>
                </c:pt>
                <c:pt idx="145">
                  <c:v>601.65849708437679</c:v>
                </c:pt>
                <c:pt idx="146">
                  <c:v>613.43879211829812</c:v>
                </c:pt>
                <c:pt idx="147">
                  <c:v>625.21439618578745</c:v>
                </c:pt>
                <c:pt idx="148">
                  <c:v>636.98541006213668</c:v>
                </c:pt>
                <c:pt idx="149">
                  <c:v>648.7519304957433</c:v>
                </c:pt>
                <c:pt idx="150">
                  <c:v>660.51405044067269</c:v>
                </c:pt>
                <c:pt idx="151">
                  <c:v>672.27185927180437</c:v>
                </c:pt>
                <c:pt idx="152">
                  <c:v>684.02544298414944</c:v>
                </c:pt>
                <c:pt idx="153">
                  <c:v>695.7748843777639</c:v>
                </c:pt>
                <c:pt idx="154">
                  <c:v>707.52026322953031</c:v>
                </c:pt>
                <c:pt idx="155">
                  <c:v>641.59785094366441</c:v>
                </c:pt>
                <c:pt idx="156">
                  <c:v>653.52936024571716</c:v>
                </c:pt>
                <c:pt idx="157">
                  <c:v>665.45638118561703</c:v>
                </c:pt>
                <c:pt idx="158">
                  <c:v>677.37900551237442</c:v>
                </c:pt>
                <c:pt idx="159">
                  <c:v>689.29732148331743</c:v>
                </c:pt>
                <c:pt idx="160">
                  <c:v>701.21141405631386</c:v>
                </c:pt>
                <c:pt idx="161">
                  <c:v>713.1213650682588</c:v>
                </c:pt>
                <c:pt idx="162">
                  <c:v>725.02725340102563</c:v>
                </c:pt>
                <c:pt idx="163">
                  <c:v>736.92915513595392</c:v>
                </c:pt>
                <c:pt idx="164">
                  <c:v>748.82714369784742</c:v>
                </c:pt>
                <c:pt idx="165">
                  <c:v>676.84813645747329</c:v>
                </c:pt>
                <c:pt idx="166">
                  <c:v>688.91201547636729</c:v>
                </c:pt>
                <c:pt idx="167">
                  <c:v>700.97156465237379</c:v>
                </c:pt>
                <c:pt idx="168">
                  <c:v>713.0268689373587</c:v>
                </c:pt>
                <c:pt idx="169">
                  <c:v>725.0780101778729</c:v>
                </c:pt>
                <c:pt idx="170">
                  <c:v>737.1250672794655</c:v>
                </c:pt>
                <c:pt idx="171">
                  <c:v>749.1681163597068</c:v>
                </c:pt>
                <c:pt idx="172">
                  <c:v>761.20723089086403</c:v>
                </c:pt>
                <c:pt idx="173">
                  <c:v>773.24248183309089</c:v>
                </c:pt>
                <c:pt idx="174">
                  <c:v>785.27393775889823</c:v>
                </c:pt>
                <c:pt idx="175">
                  <c:v>489.21833082634186</c:v>
                </c:pt>
                <c:pt idx="176">
                  <c:v>496.87420685903498</c:v>
                </c:pt>
                <c:pt idx="177">
                  <c:v>504.52758444644269</c:v>
                </c:pt>
                <c:pt idx="178">
                  <c:v>344.91098922491921</c:v>
                </c:pt>
                <c:pt idx="179">
                  <c:v>349.57471993851476</c:v>
                </c:pt>
                <c:pt idx="180">
                  <c:v>354.2370857048416</c:v>
                </c:pt>
                <c:pt idx="181">
                  <c:v>245.36731571943736</c:v>
                </c:pt>
                <c:pt idx="182">
                  <c:v>248.18601920576737</c:v>
                </c:pt>
                <c:pt idx="183">
                  <c:v>251.00399609991334</c:v>
                </c:pt>
                <c:pt idx="184">
                  <c:v>7.9599429739955953E-12</c:v>
                </c:pt>
                <c:pt idx="185">
                  <c:v>7.9599429739955953E-12</c:v>
                </c:pt>
                <c:pt idx="186">
                  <c:v>7.9599429739955953E-12</c:v>
                </c:pt>
                <c:pt idx="187">
                  <c:v>7.9599429739955953E-12</c:v>
                </c:pt>
                <c:pt idx="188">
                  <c:v>7.9599429739955953E-12</c:v>
                </c:pt>
                <c:pt idx="189">
                  <c:v>7.9599429739955953E-12</c:v>
                </c:pt>
                <c:pt idx="190">
                  <c:v>7.9599429739955953E-12</c:v>
                </c:pt>
                <c:pt idx="191">
                  <c:v>7.9599429739955953E-12</c:v>
                </c:pt>
                <c:pt idx="192">
                  <c:v>7.9599429739955953E-12</c:v>
                </c:pt>
                <c:pt idx="193">
                  <c:v>7.9599429739955953E-12</c:v>
                </c:pt>
                <c:pt idx="194">
                  <c:v>7.9599429739955953E-12</c:v>
                </c:pt>
                <c:pt idx="195">
                  <c:v>7.9599429739955953E-12</c:v>
                </c:pt>
                <c:pt idx="196">
                  <c:v>7.9599429739955953E-12</c:v>
                </c:pt>
                <c:pt idx="197">
                  <c:v>7.9599429739955953E-12</c:v>
                </c:pt>
                <c:pt idx="198">
                  <c:v>7.9599429739955953E-12</c:v>
                </c:pt>
                <c:pt idx="199">
                  <c:v>7.9599429739955953E-12</c:v>
                </c:pt>
                <c:pt idx="200">
                  <c:v>7.9599429739955953E-12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à partir de la 6e année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B3C819EE-4B6E-4380-B86B-25679C65E4F9}">
    <text>A recopier sur toutes les essences.
Correspond aux frais fixes d’entretien mécanique + répulsif gibier</text>
  </threadedComment>
  <threadedComment ref="E50" dT="2024-11-27T17:08:05.48" personId="{44BC7BF0-8157-4572-8E12-7E0C99523682}" id="{65B221CF-EB51-4053-88C3-698AA33C54D6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EE3EAB93-A0F1-4B36-B770-8FAFD7B28AFB}">
    <text>A recopier sur toutes les essences.
Correspond aux frais fixes d’entretien mécanique + répulsif gibier</text>
  </threadedComment>
  <threadedComment ref="E80" dT="2024-11-27T17:07:34.75" personId="{44BC7BF0-8157-4572-8E12-7E0C99523682}" id="{5E5B3015-70C8-460A-A37D-7F65CF4FFC37}">
    <text>A recopier sur toutes les essences.
Correspond aux frais fixes d’entretien mécanique + répulsif gibier</text>
  </threadedComment>
  <threadedComment ref="E81" dT="2024-11-27T17:08:05.48" personId="{44BC7BF0-8157-4572-8E12-7E0C99523682}" id="{0F1ED379-28FD-4A61-BEB0-8B3093206723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9E5C99AD-8051-46C3-B2D6-D6DD0100EDDC}">
    <text>A recopier sur toutes les essences.
Correspond aux frais fixes d’entretien mécanique + répulsif gibier</text>
  </threadedComment>
  <threadedComment ref="E111" dT="2024-11-27T17:07:34.75" personId="{44BC7BF0-8157-4572-8E12-7E0C99523682}" id="{D744106E-F2CF-43ED-AC69-229AF2A5896D}">
    <text>A recopier sur toutes les essences.
Correspond aux frais fixes d’entretien mécanique + répulsif gibier</text>
  </threadedComment>
  <threadedComment ref="E112" dT="2024-11-27T17:08:05.48" personId="{44BC7BF0-8157-4572-8E12-7E0C99523682}" id="{7257594D-8DAD-422C-9E9C-669B29D2B07F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75B96D92-B70A-44D9-9E1B-9B59EDBE4FC8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D9" sqref="D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6" t="s">
        <v>190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5.49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0.23</v>
      </c>
      <c r="D9" s="33">
        <f t="shared" ref="D9:D18" si="0">C9*$C$5</f>
        <v>1.2627000000000002</v>
      </c>
      <c r="E9" s="34">
        <v>109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0.42</v>
      </c>
      <c r="D10" s="33">
        <f t="shared" si="0"/>
        <v>2.3058000000000001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12</v>
      </c>
      <c r="C11" s="32">
        <v>0.25</v>
      </c>
      <c r="D11" s="33">
        <f t="shared" si="0"/>
        <v>1.3725000000000001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50</v>
      </c>
      <c r="C12" s="32">
        <v>0.1</v>
      </c>
      <c r="D12" s="33">
        <f t="shared" si="0"/>
        <v>0.54900000000000004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5.4900000000000011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51</v>
      </c>
      <c r="B36" s="258">
        <v>322.95999999999998</v>
      </c>
      <c r="C36" s="258">
        <v>1</v>
      </c>
      <c r="D36" s="259">
        <v>99.93</v>
      </c>
      <c r="E36" s="260">
        <v>0.7</v>
      </c>
      <c r="F36" s="260">
        <v>0.3</v>
      </c>
      <c r="G36" s="260">
        <v>0</v>
      </c>
      <c r="H36" s="260">
        <v>0</v>
      </c>
      <c r="I36" s="49">
        <f>IFERROR(B36/A36,"")</f>
        <v>6.3325490196078427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63</v>
      </c>
      <c r="B37" s="262">
        <v>369.3</v>
      </c>
      <c r="C37" s="262">
        <v>2</v>
      </c>
      <c r="D37" s="262">
        <v>113.87</v>
      </c>
      <c r="E37" s="263">
        <v>0.7</v>
      </c>
      <c r="F37" s="263">
        <v>0.3</v>
      </c>
      <c r="G37" s="263">
        <v>0</v>
      </c>
      <c r="H37" s="263">
        <v>0</v>
      </c>
      <c r="I37" s="53">
        <f t="shared" ref="I37:I55" si="1">IF(A37&lt;&gt;0,(B37-(B36-D36))/(A37-A36),"")</f>
        <v>12.18916666666667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75</v>
      </c>
      <c r="B38" s="262">
        <v>389.46</v>
      </c>
      <c r="C38" s="262">
        <v>3</v>
      </c>
      <c r="D38" s="262">
        <v>92.44</v>
      </c>
      <c r="E38" s="263">
        <v>0.7</v>
      </c>
      <c r="F38" s="263">
        <v>0.3</v>
      </c>
      <c r="G38" s="263">
        <v>0</v>
      </c>
      <c r="H38" s="263">
        <v>0</v>
      </c>
      <c r="I38" s="53">
        <f t="shared" si="1"/>
        <v>11.169166666666664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87</v>
      </c>
      <c r="B39" s="262">
        <v>420.16</v>
      </c>
      <c r="C39" s="262">
        <v>4</v>
      </c>
      <c r="D39" s="262">
        <v>91.18</v>
      </c>
      <c r="E39" s="263">
        <v>0.7</v>
      </c>
      <c r="F39" s="263">
        <v>0.3</v>
      </c>
      <c r="G39" s="263">
        <v>0</v>
      </c>
      <c r="H39" s="263">
        <v>0</v>
      </c>
      <c r="I39" s="49">
        <f t="shared" si="1"/>
        <v>10.26166666666667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99</v>
      </c>
      <c r="B40" s="262">
        <v>440.24</v>
      </c>
      <c r="C40" s="262">
        <v>5</v>
      </c>
      <c r="D40" s="262">
        <v>219.27</v>
      </c>
      <c r="E40" s="263">
        <v>0.7</v>
      </c>
      <c r="F40" s="263">
        <v>0.3</v>
      </c>
      <c r="G40" s="263">
        <v>0</v>
      </c>
      <c r="H40" s="263">
        <v>0</v>
      </c>
      <c r="I40" s="49">
        <f t="shared" si="1"/>
        <v>9.2716666666666665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109</v>
      </c>
      <c r="B41" s="262">
        <v>285.48</v>
      </c>
      <c r="C41" s="262">
        <v>6</v>
      </c>
      <c r="D41" s="262">
        <v>285.48</v>
      </c>
      <c r="E41" s="263">
        <v>0.7</v>
      </c>
      <c r="F41" s="263">
        <v>0.3</v>
      </c>
      <c r="G41" s="263">
        <v>0</v>
      </c>
      <c r="H41" s="263">
        <v>0</v>
      </c>
      <c r="I41" s="53">
        <f t="shared" si="1"/>
        <v>6.4510000000000023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Tilleul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163.26</v>
      </c>
      <c r="C114" s="50">
        <v>1</v>
      </c>
      <c r="D114" s="60">
        <v>43.21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50</v>
      </c>
      <c r="B115" s="60">
        <v>195.02</v>
      </c>
      <c r="C115" s="50">
        <v>2</v>
      </c>
      <c r="D115" s="60">
        <v>35.58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58</v>
      </c>
      <c r="B116" s="60">
        <v>235.87</v>
      </c>
      <c r="C116" s="50">
        <v>3</v>
      </c>
      <c r="D116" s="60">
        <v>44.93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74</v>
      </c>
      <c r="B118" s="60">
        <v>285.98</v>
      </c>
      <c r="C118" s="50">
        <v>5</v>
      </c>
      <c r="D118" s="60">
        <v>47.4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94</v>
      </c>
      <c r="B120" s="60">
        <v>346.79</v>
      </c>
      <c r="C120" s="60">
        <v>7</v>
      </c>
      <c r="D120" s="60">
        <v>61.85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104</v>
      </c>
      <c r="B121" s="60">
        <v>365.41</v>
      </c>
      <c r="C121" s="60">
        <v>8</v>
      </c>
      <c r="D121" s="60">
        <v>60.19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124</v>
      </c>
      <c r="B123" s="60">
        <v>408.42</v>
      </c>
      <c r="C123" s="60">
        <v>10</v>
      </c>
      <c r="D123" s="60">
        <v>52.53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134</v>
      </c>
      <c r="B124" s="60">
        <v>436.59</v>
      </c>
      <c r="C124" s="60">
        <v>11</v>
      </c>
      <c r="D124" s="60">
        <v>54.95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144</v>
      </c>
      <c r="B125" s="60">
        <v>463.23</v>
      </c>
      <c r="C125" s="60">
        <v>12</v>
      </c>
      <c r="D125" s="60">
        <v>56.01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154</v>
      </c>
      <c r="B126" s="60">
        <v>490.47</v>
      </c>
      <c r="C126" s="60">
        <v>13</v>
      </c>
      <c r="D126" s="60">
        <v>55.13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164</v>
      </c>
      <c r="B127" s="60">
        <v>519.77</v>
      </c>
      <c r="C127" s="60">
        <v>14</v>
      </c>
      <c r="D127" s="60">
        <v>59.58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174</v>
      </c>
      <c r="B128" s="50">
        <v>545.65</v>
      </c>
      <c r="C128" s="50">
        <v>15</v>
      </c>
      <c r="D128" s="50">
        <v>214.77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177</v>
      </c>
      <c r="B129" s="50">
        <v>347.04</v>
      </c>
      <c r="C129" s="50">
        <v>16</v>
      </c>
      <c r="D129" s="50">
        <v>115.19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180</v>
      </c>
      <c r="B130" s="50">
        <v>241.62</v>
      </c>
      <c r="C130" s="50">
        <v>17</v>
      </c>
      <c r="D130" s="50">
        <v>77.72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183</v>
      </c>
      <c r="B131" s="50">
        <v>169.76</v>
      </c>
      <c r="C131" s="50">
        <v>18</v>
      </c>
      <c r="D131" s="50">
        <v>169.76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4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0" sqref="C3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Cèdre de l'Atlas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Chêne sessile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Chêne pubescent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Tilleul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289.01603252482897</v>
      </c>
      <c r="T3" s="59">
        <f>IF('Données projet'!E9&gt;30,$R$33-$H$33,LOOKUP('Données projet'!$E$9,$A$3:$A$203,R3:R203)-LOOKUP('Données projet'!$E$9,$A$3:$A$203,$H$3:$H$203))</f>
        <v>233.84231920589906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581.88778927327667</v>
      </c>
      <c r="AO3" s="59">
        <f>IF('Données projet'!E10&gt;30,$AM$33-$H$33,LOOKUP('Données projet'!$E$10,$A$3:$A$203,AM3:AM203)-LOOKUP('Données projet'!$E$10,$A$3:$A$203,$H$3:$H$203))</f>
        <v>269.67340993773422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646.50767193970182</v>
      </c>
      <c r="BJ3" s="59">
        <f>IF('Données projet'!E11&gt;30,$BH$33-$H$33,LOOKUP('Données projet'!$E$11,$A$3:$A$203,BH3:BH203)-LOOKUP('Données projet'!$E$11,$A$3:$A$203,$H$3:$H$203))</f>
        <v>297.06786598620607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442.85175349826028</v>
      </c>
      <c r="CE3" s="59">
        <f>IF('Données projet'!E12&gt;30,$CC$33-$H$33,LOOKUP('Données projet'!$E$12,$A$3:$A$203,CC3:CC203)-LOOKUP('Données projet'!$E$12,$A$3:$A$203,$H$3:$H$203))</f>
        <v>210.70697808232501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6.3325490196078427</v>
      </c>
      <c r="N4" s="13">
        <f>IF('Données projet'!$A$36&gt;35,N3+M4-V3,IF(A4&lt;'Données projet'!$A$36,$K$205^A4,IF(A4='Données projet'!$A$36,'Données projet'!$B$36,N3+M4-V3)))</f>
        <v>6.3325490196078427</v>
      </c>
      <c r="O4" s="13">
        <f>N4*VLOOKUP('Données projet'!$B$9,Paramètres!$A$1:$I$89,3,0)*VLOOKUP('Données projet'!$B$9,Paramètres!$A$1:$I$89,5,0)</f>
        <v>2.9636329411764701</v>
      </c>
      <c r="P4" s="13">
        <f>EXP(-1.0587+0.8836*LN(O4)+0.284)</f>
        <v>1.2035277726750502</v>
      </c>
      <c r="Q4" s="20">
        <f t="shared" ref="Q4:Q34" si="2">(O4+P4)*0.475*44/12</f>
        <v>7.2578049099580646</v>
      </c>
      <c r="R4" s="59">
        <f t="shared" si="0"/>
        <v>265.14669379884691</v>
      </c>
      <c r="S4" s="59">
        <f ca="1">AVERAGE(OFFSET($R$3,0,0,'Données projet'!$E$9+1,1))-AVERAGE(OFFSET($H$3,0,0,'Données projet'!$E$9+1,1))</f>
        <v>289.01603252482897</v>
      </c>
      <c r="T4" s="59">
        <f>$T$3</f>
        <v>233.84231920589906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3.5170868571428571</v>
      </c>
      <c r="AK4" s="13">
        <f>EXP(-1.0587+0.8836*LN(AJ4)+0.284)</f>
        <v>1.400101260019349</v>
      </c>
      <c r="AL4" s="20">
        <f t="shared" ref="AL4:AL67" si="4">(AJ4+AK4)*0.475*44/12</f>
        <v>8.5641026373908407</v>
      </c>
      <c r="AM4" s="59">
        <f t="shared" ref="AM4:AM67" si="5">AL4+(AD4+AE4)*44/12</f>
        <v>266.45299152627967</v>
      </c>
      <c r="AN4" s="59">
        <f ca="1">AVERAGE(OFFSET($AM$3,0,0,'Données projet'!$E$10+1,1))-AVERAGE(OFFSET($H$3,0,0,'Données projet'!$E$10+1,1))</f>
        <v>581.88778927327667</v>
      </c>
      <c r="AO4" s="59">
        <f>$AO$3</f>
        <v>269.67340993773422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3.9415628571428569</v>
      </c>
      <c r="BF4" s="13">
        <f>EXP(-1.0587+0.8836*LN(BE4)+0.284)</f>
        <v>1.5484055284644385</v>
      </c>
      <c r="BG4" s="20">
        <f t="shared" ref="BG4:BG67" si="7">(BE4+BF4)*0.475*44/12</f>
        <v>9.5616949382660383</v>
      </c>
      <c r="BH4" s="59">
        <f t="shared" ref="BH4:BH67" si="8">BG4+(AY4+AZ4)*44/12</f>
        <v>267.4505838271549</v>
      </c>
      <c r="BI4" s="59">
        <f ca="1">AVERAGE(OFFSET($BH$3,0,0,'Données projet'!$E$11+1,1))-AVERAGE(OFFSET($H$3,0,0,'Données projet'!$E$11+1,1))</f>
        <v>646.50767193970182</v>
      </c>
      <c r="BJ4" s="59">
        <f>$BJ$3</f>
        <v>297.06786598620607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2.6074954285714287</v>
      </c>
      <c r="CA4" s="13">
        <f>EXP(-1.0587+0.8836*LN(BZ4)+0.284)</f>
        <v>1.0747988638721822</v>
      </c>
      <c r="CB4" s="20">
        <f t="shared" ref="CB4:CB67" si="10">(BZ4+CA4)*0.475*44/12</f>
        <v>6.4133292260059553</v>
      </c>
      <c r="CC4" s="59">
        <f t="shared" ref="CC4:CC67" si="11">CB4+(BT4+BU4)*44/12</f>
        <v>264.3022181148948</v>
      </c>
      <c r="CD4" s="59">
        <f ca="1">AVERAGE(OFFSET($CC$3,0,0,'Données projet'!$E$12+1,1))-AVERAGE(OFFSET($H$3,0,0,'Données projet'!$E$12+1,1))</f>
        <v>442.85175349826028</v>
      </c>
      <c r="CE4" s="59">
        <f>$CE$3</f>
        <v>210.70697808232501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6.3325490196078427</v>
      </c>
      <c r="N5" s="13">
        <f>IF('Données projet'!$A$36&gt;35,N4+M5-V4,IF(A5&lt;'Données projet'!$A$36,$K$205^A5,IF(A5='Données projet'!$A$36,'Données projet'!$B$36,N4+M5-V4)))</f>
        <v>12.665098039215685</v>
      </c>
      <c r="O5" s="13">
        <f>N5*VLOOKUP('Données projet'!$B$9,Paramètres!$A$1:$I$89,3,0)*VLOOKUP('Données projet'!$B$9,Paramètres!$A$1:$I$89,5,0)</f>
        <v>5.9272658823529403</v>
      </c>
      <c r="P5" s="13">
        <f t="shared" ref="P5:P68" si="33">EXP(-1.0587+0.8836*LN(O5)+0.284)</f>
        <v>2.2204767016517342</v>
      </c>
      <c r="Q5" s="20">
        <f t="shared" si="2"/>
        <v>14.190651667141474</v>
      </c>
      <c r="R5" s="59">
        <f t="shared" si="0"/>
        <v>273.30176277825262</v>
      </c>
      <c r="S5" s="59">
        <f ca="1">AVERAGE(OFFSET($R$3,0,0,'Données projet'!$E$9+1,1))-AVERAGE(OFFSET($H$3,0,0,'Données projet'!$E$9+1,1))</f>
        <v>289.01603252482897</v>
      </c>
      <c r="T5" s="59">
        <f t="shared" ref="T5:T68" si="34">$T$3</f>
        <v>233.84231920589906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7.0341737142857141</v>
      </c>
      <c r="AK5" s="13">
        <f t="shared" ref="AK5:AK68" si="35">EXP(-1.0587+0.8836*LN(AJ5)+0.284)</f>
        <v>2.5831495528484112</v>
      </c>
      <c r="AL5" s="20">
        <f t="shared" si="4"/>
        <v>16.750171356925268</v>
      </c>
      <c r="AM5" s="59">
        <f t="shared" si="5"/>
        <v>275.86128246803639</v>
      </c>
      <c r="AN5" s="59">
        <f ca="1">AVERAGE(OFFSET($AM$3,0,0,'Données projet'!$E$10+1,1))-AVERAGE(OFFSET($H$3,0,0,'Données projet'!$E$10+1,1))</f>
        <v>581.88778927327667</v>
      </c>
      <c r="AO5" s="59">
        <f t="shared" ref="AO5:AO68" si="36">$AO$3</f>
        <v>269.67340993773422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7.8831257142857138</v>
      </c>
      <c r="BF5" s="13">
        <f t="shared" ref="BF5:BF68" si="37">EXP(-1.0587+0.8836*LN(BE5)+0.284)</f>
        <v>2.8567669801437421</v>
      </c>
      <c r="BG5" s="20">
        <f t="shared" si="7"/>
        <v>18.705313109464633</v>
      </c>
      <c r="BH5" s="59">
        <f t="shared" si="8"/>
        <v>277.81642422057575</v>
      </c>
      <c r="BI5" s="59">
        <f ca="1">AVERAGE(OFFSET($BH$3,0,0,'Données projet'!$E$11+1,1))-AVERAGE(OFFSET($H$3,0,0,'Données projet'!$E$11+1,1))</f>
        <v>646.50767193970182</v>
      </c>
      <c r="BJ5" s="59">
        <f t="shared" ref="BJ5:BJ68" si="38">$BJ$3</f>
        <v>297.06786598620607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5.2149908571428574</v>
      </c>
      <c r="CA5" s="13">
        <f t="shared" ref="CA5:CA68" si="39">EXP(-1.0587+0.8836*LN(BZ5)+0.284)</f>
        <v>1.982975291783567</v>
      </c>
      <c r="CB5" s="20">
        <f t="shared" si="10"/>
        <v>12.536457709380189</v>
      </c>
      <c r="CC5" s="59">
        <f t="shared" si="11"/>
        <v>271.64756882049136</v>
      </c>
      <c r="CD5" s="59">
        <f ca="1">AVERAGE(OFFSET($CC$3,0,0,'Données projet'!$E$12+1,1))-AVERAGE(OFFSET($H$3,0,0,'Données projet'!$E$12+1,1))</f>
        <v>442.85175349826028</v>
      </c>
      <c r="CE5" s="59">
        <f t="shared" ref="CE5:CE68" si="40">$CE$3</f>
        <v>210.70697808232501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6.3325490196078427</v>
      </c>
      <c r="N6" s="13">
        <f>IF('Données projet'!$A$36&gt;35,N5+M6-V5,IF(A6&lt;'Données projet'!$A$36,$K$205^A6,IF(A6='Données projet'!$A$36,'Données projet'!$B$36,N5+M6-V5)))</f>
        <v>18.997647058823528</v>
      </c>
      <c r="O6" s="13">
        <f>N6*VLOOKUP('Données projet'!$B$9,Paramètres!$A$1:$I$89,3,0)*VLOOKUP('Données projet'!$B$9,Paramètres!$A$1:$I$89,5,0)</f>
        <v>8.89089882352941</v>
      </c>
      <c r="P6" s="13">
        <f t="shared" si="33"/>
        <v>3.1771700297859202</v>
      </c>
      <c r="Q6" s="20">
        <f t="shared" si="2"/>
        <v>21.018553252857533</v>
      </c>
      <c r="R6" s="59">
        <f t="shared" si="0"/>
        <v>281.35188658619086</v>
      </c>
      <c r="S6" s="59">
        <f ca="1">AVERAGE(OFFSET($R$3,0,0,'Données projet'!$E$9+1,1))-AVERAGE(OFFSET($H$3,0,0,'Données projet'!$E$9+1,1))</f>
        <v>289.01603252482897</v>
      </c>
      <c r="T6" s="59">
        <f t="shared" si="34"/>
        <v>233.84231920589906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10.551260571428571</v>
      </c>
      <c r="AK6" s="13">
        <f t="shared" si="35"/>
        <v>3.6961006326523931</v>
      </c>
      <c r="AL6" s="20">
        <f t="shared" si="4"/>
        <v>24.814154097107675</v>
      </c>
      <c r="AM6" s="59">
        <f t="shared" si="5"/>
        <v>285.147487430441</v>
      </c>
      <c r="AN6" s="59">
        <f ca="1">AVERAGE(OFFSET($AM$3,0,0,'Données projet'!$E$10+1,1))-AVERAGE(OFFSET($H$3,0,0,'Données projet'!$E$10+1,1))</f>
        <v>581.88778927327667</v>
      </c>
      <c r="AO6" s="59">
        <f t="shared" si="36"/>
        <v>269.67340993773422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11.824688571428572</v>
      </c>
      <c r="BF6" s="13">
        <f t="shared" si="37"/>
        <v>4.0876062444803347</v>
      </c>
      <c r="BG6" s="20">
        <f t="shared" si="7"/>
        <v>27.713913471041348</v>
      </c>
      <c r="BH6" s="59">
        <f t="shared" si="8"/>
        <v>288.04724680437465</v>
      </c>
      <c r="BI6" s="59">
        <f ca="1">AVERAGE(OFFSET($BH$3,0,0,'Données projet'!$E$11+1,1))-AVERAGE(OFFSET($H$3,0,0,'Données projet'!$E$11+1,1))</f>
        <v>646.50767193970182</v>
      </c>
      <c r="BJ6" s="59">
        <f t="shared" si="38"/>
        <v>297.06786598620607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7.8224862857142856</v>
      </c>
      <c r="CA6" s="13">
        <f t="shared" si="39"/>
        <v>2.8373410368026852</v>
      </c>
      <c r="CB6" s="20">
        <f t="shared" si="10"/>
        <v>18.565865920050392</v>
      </c>
      <c r="CC6" s="59">
        <f t="shared" si="11"/>
        <v>278.8991992533837</v>
      </c>
      <c r="CD6" s="59">
        <f ca="1">AVERAGE(OFFSET($CC$3,0,0,'Données projet'!$E$12+1,1))-AVERAGE(OFFSET($H$3,0,0,'Données projet'!$E$12+1,1))</f>
        <v>442.85175349826028</v>
      </c>
      <c r="CE6" s="59">
        <f t="shared" si="40"/>
        <v>210.70697808232501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6.3325490196078427</v>
      </c>
      <c r="N7" s="13">
        <f>IF('Données projet'!$A$36&gt;35,N6+M7-V6,IF(A7&lt;'Données projet'!$A$36,$K$205^A7,IF(A7='Données projet'!$A$36,'Données projet'!$B$36,N6+M7-V6)))</f>
        <v>25.330196078431371</v>
      </c>
      <c r="O7" s="13">
        <f>N7*VLOOKUP('Données projet'!$B$9,Paramètres!$A$1:$I$89,3,0)*VLOOKUP('Données projet'!$B$9,Paramètres!$A$1:$I$89,5,0)</f>
        <v>11.854531764705881</v>
      </c>
      <c r="P7" s="13">
        <f t="shared" si="33"/>
        <v>4.0967204035676144</v>
      </c>
      <c r="Q7" s="20">
        <f t="shared" si="2"/>
        <v>27.781764193076338</v>
      </c>
      <c r="R7" s="59">
        <f t="shared" si="0"/>
        <v>289.3373197486319</v>
      </c>
      <c r="S7" s="59">
        <f ca="1">AVERAGE(OFFSET($R$3,0,0,'Données projet'!$E$9+1,1))-AVERAGE(OFFSET($H$3,0,0,'Données projet'!$E$9+1,1))</f>
        <v>289.01603252482897</v>
      </c>
      <c r="T7" s="59">
        <f t="shared" si="34"/>
        <v>233.84231920589906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14.068347428571428</v>
      </c>
      <c r="AK7" s="13">
        <f t="shared" si="35"/>
        <v>4.7658421593654818</v>
      </c>
      <c r="AL7" s="20">
        <f t="shared" si="4"/>
        <v>32.802880198990124</v>
      </c>
      <c r="AM7" s="59">
        <f t="shared" si="5"/>
        <v>294.35843575454567</v>
      </c>
      <c r="AN7" s="59">
        <f ca="1">AVERAGE(OFFSET($AM$3,0,0,'Données projet'!$E$10+1,1))-AVERAGE(OFFSET($H$3,0,0,'Données projet'!$E$10+1,1))</f>
        <v>581.88778927327667</v>
      </c>
      <c r="AO7" s="59">
        <f t="shared" si="36"/>
        <v>269.67340993773422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15.766251428571428</v>
      </c>
      <c r="BF7" s="13">
        <f t="shared" si="37"/>
        <v>5.2706590287965538</v>
      </c>
      <c r="BG7" s="20">
        <f t="shared" si="7"/>
        <v>36.63928571324923</v>
      </c>
      <c r="BH7" s="59">
        <f t="shared" si="8"/>
        <v>298.19484126880479</v>
      </c>
      <c r="BI7" s="59">
        <f ca="1">AVERAGE(OFFSET($BH$3,0,0,'Données projet'!$E$11+1,1))-AVERAGE(OFFSET($H$3,0,0,'Données projet'!$E$11+1,1))</f>
        <v>646.50767193970182</v>
      </c>
      <c r="BJ7" s="59">
        <f t="shared" si="38"/>
        <v>297.06786598620607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10.429981714285715</v>
      </c>
      <c r="CA7" s="13">
        <f t="shared" si="39"/>
        <v>3.6585366248505338</v>
      </c>
      <c r="CB7" s="20">
        <f t="shared" si="10"/>
        <v>24.53750277399563</v>
      </c>
      <c r="CC7" s="59">
        <f t="shared" si="11"/>
        <v>286.09305832955118</v>
      </c>
      <c r="CD7" s="59">
        <f ca="1">AVERAGE(OFFSET($CC$3,0,0,'Données projet'!$E$12+1,1))-AVERAGE(OFFSET($H$3,0,0,'Données projet'!$E$12+1,1))</f>
        <v>442.85175349826028</v>
      </c>
      <c r="CE7" s="59">
        <f t="shared" si="40"/>
        <v>210.70697808232501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6.3325490196078427</v>
      </c>
      <c r="N8" s="13">
        <f>IF('Données projet'!$A$36&gt;35,N7+M8-V7,IF(A8&lt;'Données projet'!$A$36,$K$205^A8,IF(A8='Données projet'!$A$36,'Données projet'!$B$36,N7+M8-V7)))</f>
        <v>31.662745098039213</v>
      </c>
      <c r="O8" s="13">
        <f>N8*VLOOKUP('Données projet'!$B$9,Paramètres!$A$1:$I$89,3,0)*VLOOKUP('Données projet'!$B$9,Paramètres!$A$1:$I$89,5,0)</f>
        <v>14.818164705882353</v>
      </c>
      <c r="P8" s="13">
        <f t="shared" si="33"/>
        <v>4.9896032320687418</v>
      </c>
      <c r="Q8" s="20">
        <f t="shared" si="2"/>
        <v>34.49852915859816</v>
      </c>
      <c r="R8" s="59">
        <f t="shared" si="0"/>
        <v>297.27630693637593</v>
      </c>
      <c r="S8" s="59">
        <f ca="1">AVERAGE(OFFSET($R$3,0,0,'Données projet'!$E$9+1,1))-AVERAGE(OFFSET($H$3,0,0,'Données projet'!$E$9+1,1))</f>
        <v>289.01603252482897</v>
      </c>
      <c r="T8" s="59">
        <f t="shared" si="34"/>
        <v>233.84231920589906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17.585434285714282</v>
      </c>
      <c r="AK8" s="13">
        <f t="shared" si="35"/>
        <v>5.804560501905633</v>
      </c>
      <c r="AL8" s="20">
        <f t="shared" si="4"/>
        <v>40.737574255104683</v>
      </c>
      <c r="AM8" s="59">
        <f t="shared" si="5"/>
        <v>303.51535203288245</v>
      </c>
      <c r="AN8" s="59">
        <f ca="1">AVERAGE(OFFSET($AM$3,0,0,'Données projet'!$E$10+1,1))-AVERAGE(OFFSET($H$3,0,0,'Données projet'!$E$10+1,1))</f>
        <v>581.88778927327667</v>
      </c>
      <c r="AO8" s="59">
        <f t="shared" si="36"/>
        <v>269.67340993773422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19.707814285714285</v>
      </c>
      <c r="BF8" s="13">
        <f t="shared" si="37"/>
        <v>6.4194025304518281</v>
      </c>
      <c r="BG8" s="20">
        <f t="shared" si="7"/>
        <v>45.504902621489315</v>
      </c>
      <c r="BH8" s="59">
        <f t="shared" si="8"/>
        <v>308.28268039926706</v>
      </c>
      <c r="BI8" s="59">
        <f ca="1">AVERAGE(OFFSET($BH$3,0,0,'Données projet'!$E$11+1,1))-AVERAGE(OFFSET($H$3,0,0,'Données projet'!$E$11+1,1))</f>
        <v>646.50767193970182</v>
      </c>
      <c r="BJ8" s="59">
        <f t="shared" si="38"/>
        <v>297.06786598620607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13.037477142857142</v>
      </c>
      <c r="CA8" s="13">
        <f t="shared" si="39"/>
        <v>4.4559170189156907</v>
      </c>
      <c r="CB8" s="20">
        <f t="shared" si="10"/>
        <v>30.46766149842102</v>
      </c>
      <c r="CC8" s="59">
        <f t="shared" si="11"/>
        <v>293.24543927619879</v>
      </c>
      <c r="CD8" s="59">
        <f ca="1">AVERAGE(OFFSET($CC$3,0,0,'Données projet'!$E$12+1,1))-AVERAGE(OFFSET($H$3,0,0,'Données projet'!$E$12+1,1))</f>
        <v>442.85175349826028</v>
      </c>
      <c r="CE8" s="59">
        <f t="shared" si="40"/>
        <v>210.70697808232501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6.3325490196078427</v>
      </c>
      <c r="N9" s="13">
        <f>IF('Données projet'!$A$36&gt;35,N8+M9-V8,IF(A9&lt;'Données projet'!$A$36,$K$205^A9,IF(A9='Données projet'!$A$36,'Données projet'!$B$36,N8+M9-V8)))</f>
        <v>37.995294117647056</v>
      </c>
      <c r="O9" s="13">
        <f>N9*VLOOKUP('Données projet'!$B$9,Paramètres!$A$1:$I$89,3,0)*VLOOKUP('Données projet'!$B$9,Paramètres!$A$1:$I$89,5,0)</f>
        <v>17.78179764705882</v>
      </c>
      <c r="P9" s="13">
        <f t="shared" si="33"/>
        <v>5.8617941259844679</v>
      </c>
      <c r="Q9" s="20">
        <f t="shared" si="2"/>
        <v>41.179255671383721</v>
      </c>
      <c r="R9" s="59">
        <f t="shared" si="0"/>
        <v>305.17925567138371</v>
      </c>
      <c r="S9" s="59">
        <f ca="1">AVERAGE(OFFSET($R$3,0,0,'Données projet'!$E$9+1,1))-AVERAGE(OFFSET($H$3,0,0,'Données projet'!$E$9+1,1))</f>
        <v>289.01603252482897</v>
      </c>
      <c r="T9" s="59">
        <f t="shared" si="34"/>
        <v>233.84231920589906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21.102521142857139</v>
      </c>
      <c r="AK9" s="13">
        <f t="shared" si="35"/>
        <v>6.8192072738987575</v>
      </c>
      <c r="AL9" s="20">
        <f t="shared" si="4"/>
        <v>48.630343659183183</v>
      </c>
      <c r="AM9" s="59">
        <f t="shared" si="5"/>
        <v>312.63034365918315</v>
      </c>
      <c r="AN9" s="59">
        <f ca="1">AVERAGE(OFFSET($AM$3,0,0,'Données projet'!$E$10+1,1))-AVERAGE(OFFSET($H$3,0,0,'Données projet'!$E$10+1,1))</f>
        <v>581.88778927327667</v>
      </c>
      <c r="AO9" s="59">
        <f t="shared" si="36"/>
        <v>269.67340993773422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23.649377142857141</v>
      </c>
      <c r="BF9" s="13">
        <f t="shared" si="37"/>
        <v>7.5415247055086745</v>
      </c>
      <c r="BG9" s="20">
        <f t="shared" si="7"/>
        <v>54.324154052570456</v>
      </c>
      <c r="BH9" s="59">
        <f t="shared" si="8"/>
        <v>318.32415405257046</v>
      </c>
      <c r="BI9" s="59">
        <f ca="1">AVERAGE(OFFSET($BH$3,0,0,'Données projet'!$E$11+1,1))-AVERAGE(OFFSET($H$3,0,0,'Données projet'!$E$11+1,1))</f>
        <v>646.50767193970182</v>
      </c>
      <c r="BJ9" s="59">
        <f t="shared" si="38"/>
        <v>297.06786598620607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15.644972571428568</v>
      </c>
      <c r="CA9" s="13">
        <f t="shared" si="39"/>
        <v>5.234818680467451</v>
      </c>
      <c r="CB9" s="20">
        <f t="shared" si="10"/>
        <v>36.365636430385564</v>
      </c>
      <c r="CC9" s="59">
        <f t="shared" si="11"/>
        <v>300.36563643038556</v>
      </c>
      <c r="CD9" s="59">
        <f ca="1">AVERAGE(OFFSET($CC$3,0,0,'Données projet'!$E$12+1,1))-AVERAGE(OFFSET($H$3,0,0,'Données projet'!$E$12+1,1))</f>
        <v>442.85175349826028</v>
      </c>
      <c r="CE9" s="59">
        <f t="shared" si="40"/>
        <v>210.70697808232501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6.3325490196078427</v>
      </c>
      <c r="N10" s="13">
        <f>IF('Données projet'!$A$36&gt;35,N9+M10-V9,IF(A10&lt;'Données projet'!$A$36,$K$205^A10,IF(A10='Données projet'!$A$36,'Données projet'!$B$36,N9+M10-V9)))</f>
        <v>44.327843137254902</v>
      </c>
      <c r="O10" s="13">
        <f>N10*VLOOKUP('Données projet'!$B$9,Paramètres!$A$1:$I$89,3,0)*VLOOKUP('Données projet'!$B$9,Paramètres!$A$1:$I$89,5,0)</f>
        <v>20.745430588235294</v>
      </c>
      <c r="P10" s="13">
        <f t="shared" si="33"/>
        <v>6.7171453304796191</v>
      </c>
      <c r="Q10" s="20">
        <f t="shared" si="2"/>
        <v>47.830653058428474</v>
      </c>
      <c r="R10" s="59">
        <f t="shared" si="0"/>
        <v>313.05287528065071</v>
      </c>
      <c r="S10" s="59">
        <f ca="1">AVERAGE(OFFSET($R$3,0,0,'Données projet'!$E$9+1,1))-AVERAGE(OFFSET($H$3,0,0,'Données projet'!$E$9+1,1))</f>
        <v>289.01603252482897</v>
      </c>
      <c r="T10" s="59">
        <f t="shared" si="34"/>
        <v>233.84231920589906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24.619607999999992</v>
      </c>
      <c r="AK10" s="13">
        <f t="shared" si="35"/>
        <v>7.8142639118614152</v>
      </c>
      <c r="AL10" s="20">
        <f t="shared" si="4"/>
        <v>56.488993579825284</v>
      </c>
      <c r="AM10" s="59">
        <f t="shared" si="5"/>
        <v>321.71121580204749</v>
      </c>
      <c r="AN10" s="59">
        <f ca="1">AVERAGE(OFFSET($AM$3,0,0,'Données projet'!$E$10+1,1))-AVERAGE(OFFSET($H$3,0,0,'Données projet'!$E$10+1,1))</f>
        <v>581.88778927327667</v>
      </c>
      <c r="AO10" s="59">
        <f t="shared" si="36"/>
        <v>269.67340993773422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27.590939999999993</v>
      </c>
      <c r="BF10" s="13">
        <f t="shared" si="37"/>
        <v>8.6419816819814557</v>
      </c>
      <c r="BG10" s="20">
        <f t="shared" si="7"/>
        <v>63.105671929451027</v>
      </c>
      <c r="BH10" s="59">
        <f t="shared" si="8"/>
        <v>328.32789415167326</v>
      </c>
      <c r="BI10" s="59">
        <f ca="1">AVERAGE(OFFSET($BH$3,0,0,'Données projet'!$E$11+1,1))-AVERAGE(OFFSET($H$3,0,0,'Données projet'!$E$11+1,1))</f>
        <v>646.50767193970182</v>
      </c>
      <c r="BJ10" s="59">
        <f t="shared" si="38"/>
        <v>297.06786598620607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18.252467999999997</v>
      </c>
      <c r="CA10" s="13">
        <f t="shared" si="39"/>
        <v>5.9986818198777838</v>
      </c>
      <c r="CB10" s="20">
        <f t="shared" si="10"/>
        <v>42.237419269620467</v>
      </c>
      <c r="CC10" s="59">
        <f t="shared" si="11"/>
        <v>307.45964149184272</v>
      </c>
      <c r="CD10" s="59">
        <f ca="1">AVERAGE(OFFSET($CC$3,0,0,'Données projet'!$E$12+1,1))-AVERAGE(OFFSET($H$3,0,0,'Données projet'!$E$12+1,1))</f>
        <v>442.85175349826028</v>
      </c>
      <c r="CE10" s="59">
        <f t="shared" si="40"/>
        <v>210.70697808232501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6.3325490196078427</v>
      </c>
      <c r="N11" s="13">
        <f>IF('Données projet'!$A$36&gt;35,N10+M11-V10,IF(A11&lt;'Données projet'!$A$36,$K$205^A11,IF(A11='Données projet'!$A$36,'Données projet'!$B$36,N10+M11-V10)))</f>
        <v>50.660392156862741</v>
      </c>
      <c r="O11" s="13">
        <f>N11*VLOOKUP('Données projet'!$B$9,Paramètres!$A$1:$I$89,3,0)*VLOOKUP('Données projet'!$B$9,Paramètres!$A$1:$I$89,5,0)</f>
        <v>23.709063529411761</v>
      </c>
      <c r="P11" s="13">
        <f t="shared" si="33"/>
        <v>7.5583400863980366</v>
      </c>
      <c r="Q11" s="20">
        <f t="shared" si="2"/>
        <v>54.457394630868727</v>
      </c>
      <c r="R11" s="59">
        <f t="shared" si="0"/>
        <v>320.90183907531321</v>
      </c>
      <c r="S11" s="59">
        <f ca="1">AVERAGE(OFFSET($R$3,0,0,'Données projet'!$E$9+1,1))-AVERAGE(OFFSET($H$3,0,0,'Données projet'!$E$9+1,1))</f>
        <v>289.01603252482897</v>
      </c>
      <c r="T11" s="59">
        <f t="shared" si="34"/>
        <v>233.84231920589906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28.136694857142849</v>
      </c>
      <c r="AK11" s="13">
        <f t="shared" si="35"/>
        <v>8.792851913254415</v>
      </c>
      <c r="AL11" s="20">
        <f t="shared" si="4"/>
        <v>64.318960625108559</v>
      </c>
      <c r="AM11" s="59">
        <f t="shared" si="5"/>
        <v>330.76340506955302</v>
      </c>
      <c r="AN11" s="59">
        <f ca="1">AVERAGE(OFFSET($AM$3,0,0,'Données projet'!$E$10+1,1))-AVERAGE(OFFSET($H$3,0,0,'Données projet'!$E$10+1,1))</f>
        <v>581.88778927327667</v>
      </c>
      <c r="AO11" s="59">
        <f t="shared" si="36"/>
        <v>269.67340993773422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31.532502857142852</v>
      </c>
      <c r="BF11" s="13">
        <f t="shared" si="37"/>
        <v>9.7242255986999844</v>
      </c>
      <c r="BG11" s="20">
        <f t="shared" si="7"/>
        <v>71.855468727259591</v>
      </c>
      <c r="BH11" s="59">
        <f t="shared" si="8"/>
        <v>338.29991317170402</v>
      </c>
      <c r="BI11" s="59">
        <f ca="1">AVERAGE(OFFSET($BH$3,0,0,'Données projet'!$E$11+1,1))-AVERAGE(OFFSET($H$3,0,0,'Données projet'!$E$11+1,1))</f>
        <v>646.50767193970182</v>
      </c>
      <c r="BJ11" s="59">
        <f t="shared" si="38"/>
        <v>297.06786598620607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20.859963428571422</v>
      </c>
      <c r="CA11" s="13">
        <f t="shared" si="39"/>
        <v>6.7499026794901864</v>
      </c>
      <c r="CB11" s="20">
        <f t="shared" si="10"/>
        <v>48.087183471540634</v>
      </c>
      <c r="CC11" s="59">
        <f t="shared" si="11"/>
        <v>314.5316279159851</v>
      </c>
      <c r="CD11" s="59">
        <f ca="1">AVERAGE(OFFSET($CC$3,0,0,'Données projet'!$E$12+1,1))-AVERAGE(OFFSET($H$3,0,0,'Données projet'!$E$12+1,1))</f>
        <v>442.85175349826028</v>
      </c>
      <c r="CE11" s="59">
        <f t="shared" si="40"/>
        <v>210.70697808232501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6.3325490196078427</v>
      </c>
      <c r="N12" s="13">
        <f>IF('Données projet'!$A$36&gt;35,N11+M12-V11,IF(A12&lt;'Données projet'!$A$36,$K$205^A12,IF(A12='Données projet'!$A$36,'Données projet'!$B$36,N11+M12-V11)))</f>
        <v>56.99294117647058</v>
      </c>
      <c r="O12" s="13">
        <f>N12*VLOOKUP('Données projet'!$B$9,Paramètres!$A$1:$I$89,3,0)*VLOOKUP('Données projet'!$B$9,Paramètres!$A$1:$I$89,5,0)</f>
        <v>26.672696470588232</v>
      </c>
      <c r="P12" s="13">
        <f t="shared" si="33"/>
        <v>8.3873506098935078</v>
      </c>
      <c r="Q12" s="20">
        <f t="shared" si="2"/>
        <v>61.062915331839015</v>
      </c>
      <c r="R12" s="59">
        <f t="shared" si="0"/>
        <v>328.72958199850569</v>
      </c>
      <c r="S12" s="59">
        <f ca="1">AVERAGE(OFFSET($R$3,0,0,'Données projet'!$E$9+1,1))-AVERAGE(OFFSET($H$3,0,0,'Données projet'!$E$9+1,1))</f>
        <v>289.01603252482897</v>
      </c>
      <c r="T12" s="59">
        <f t="shared" si="34"/>
        <v>233.84231920589906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31.653781714285703</v>
      </c>
      <c r="AK12" s="13">
        <f t="shared" si="35"/>
        <v>9.757265618420071</v>
      </c>
      <c r="AL12" s="20">
        <f t="shared" si="4"/>
        <v>72.124240771129223</v>
      </c>
      <c r="AM12" s="59">
        <f t="shared" si="5"/>
        <v>339.79090743779591</v>
      </c>
      <c r="AN12" s="59">
        <f ca="1">AVERAGE(OFFSET($AM$3,0,0,'Données projet'!$E$10+1,1))-AVERAGE(OFFSET($H$3,0,0,'Données projet'!$E$10+1,1))</f>
        <v>581.88778927327667</v>
      </c>
      <c r="AO12" s="59">
        <f t="shared" si="36"/>
        <v>269.67340993773422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35.474065714285707</v>
      </c>
      <c r="BF12" s="13">
        <f t="shared" si="37"/>
        <v>10.790793821618898</v>
      </c>
      <c r="BG12" s="20">
        <f t="shared" si="7"/>
        <v>80.577963691700518</v>
      </c>
      <c r="BH12" s="59">
        <f t="shared" si="8"/>
        <v>348.2446303583672</v>
      </c>
      <c r="BI12" s="59">
        <f ca="1">AVERAGE(OFFSET($BH$3,0,0,'Données projet'!$E$11+1,1))-AVERAGE(OFFSET($H$3,0,0,'Données projet'!$E$11+1,1))</f>
        <v>646.50767193970182</v>
      </c>
      <c r="BJ12" s="59">
        <f t="shared" si="38"/>
        <v>297.06786598620607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23.467458857142852</v>
      </c>
      <c r="CA12" s="13">
        <f t="shared" si="39"/>
        <v>7.4902425279097828</v>
      </c>
      <c r="CB12" s="20">
        <f t="shared" si="10"/>
        <v>53.917996578966665</v>
      </c>
      <c r="CC12" s="59">
        <f t="shared" si="11"/>
        <v>321.58466324563335</v>
      </c>
      <c r="CD12" s="59">
        <f ca="1">AVERAGE(OFFSET($CC$3,0,0,'Données projet'!$E$12+1,1))-AVERAGE(OFFSET($H$3,0,0,'Données projet'!$E$12+1,1))</f>
        <v>442.85175349826028</v>
      </c>
      <c r="CE12" s="59">
        <f t="shared" si="40"/>
        <v>210.70697808232501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6.3325490196078427</v>
      </c>
      <c r="N13" s="13">
        <f>IF('Données projet'!$A$36&gt;35,N12+M13-V12,IF(A13&lt;'Données projet'!$A$36,$K$205^A13,IF(A13='Données projet'!$A$36,'Données projet'!$B$36,N12+M13-V12)))</f>
        <v>63.32549019607842</v>
      </c>
      <c r="O13" s="13">
        <f>N13*VLOOKUP('Données projet'!$B$9,Paramètres!$A$1:$I$89,3,0)*VLOOKUP('Données projet'!$B$9,Paramètres!$A$1:$I$89,5,0)</f>
        <v>29.636329411764699</v>
      </c>
      <c r="P13" s="13">
        <f t="shared" si="33"/>
        <v>9.205685135681712</v>
      </c>
      <c r="Q13" s="20">
        <f t="shared" si="2"/>
        <v>67.649842003469175</v>
      </c>
      <c r="R13" s="59">
        <f t="shared" si="0"/>
        <v>336.53873089235805</v>
      </c>
      <c r="S13" s="59">
        <f ca="1">AVERAGE(OFFSET($R$3,0,0,'Données projet'!$E$9+1,1))-AVERAGE(OFFSET($H$3,0,0,'Données projet'!$E$9+1,1))</f>
        <v>289.01603252482897</v>
      </c>
      <c r="T13" s="59">
        <f t="shared" si="34"/>
        <v>233.84231920589906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35.170868571428556</v>
      </c>
      <c r="AK13" s="13">
        <f t="shared" si="35"/>
        <v>10.709259603674569</v>
      </c>
      <c r="AL13" s="20">
        <f t="shared" si="4"/>
        <v>79.90788990497127</v>
      </c>
      <c r="AM13" s="59">
        <f t="shared" si="5"/>
        <v>348.79677879386014</v>
      </c>
      <c r="AN13" s="59">
        <f ca="1">AVERAGE(OFFSET($AM$3,0,0,'Données projet'!$E$10+1,1))-AVERAGE(OFFSET($H$3,0,0,'Données projet'!$E$10+1,1))</f>
        <v>581.88778927327667</v>
      </c>
      <c r="AO13" s="59">
        <f t="shared" si="36"/>
        <v>269.67340993773422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39.415628571428563</v>
      </c>
      <c r="BF13" s="13">
        <f t="shared" si="37"/>
        <v>11.843626778724154</v>
      </c>
      <c r="BG13" s="20">
        <f t="shared" si="7"/>
        <v>89.276536401515969</v>
      </c>
      <c r="BH13" s="59">
        <f t="shared" si="8"/>
        <v>358.16542529040481</v>
      </c>
      <c r="BI13" s="59">
        <f ca="1">AVERAGE(OFFSET($BH$3,0,0,'Données projet'!$E$11+1,1))-AVERAGE(OFFSET($H$3,0,0,'Données projet'!$E$11+1,1))</f>
        <v>646.50767193970182</v>
      </c>
      <c r="BJ13" s="59">
        <f t="shared" si="38"/>
        <v>297.06786598620607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26.074954285714277</v>
      </c>
      <c r="CA13" s="13">
        <f t="shared" si="39"/>
        <v>8.221048279595589</v>
      </c>
      <c r="CB13" s="20">
        <f t="shared" si="10"/>
        <v>59.732204467914677</v>
      </c>
      <c r="CC13" s="59">
        <f t="shared" si="11"/>
        <v>328.62109335680356</v>
      </c>
      <c r="CD13" s="59">
        <f ca="1">AVERAGE(OFFSET($CC$3,0,0,'Données projet'!$E$12+1,1))-AVERAGE(OFFSET($H$3,0,0,'Données projet'!$E$12+1,1))</f>
        <v>442.85175349826028</v>
      </c>
      <c r="CE13" s="59">
        <f t="shared" si="40"/>
        <v>210.70697808232501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6.3325490196078427</v>
      </c>
      <c r="N14" s="13">
        <f>IF('Données projet'!$A$36&gt;35,N13+M14-V13,IF(A14&lt;'Données projet'!$A$36,$K$205^A14,IF(A14='Données projet'!$A$36,'Données projet'!$B$36,N13+M14-V13)))</f>
        <v>69.658039215686259</v>
      </c>
      <c r="O14" s="13">
        <f>N14*VLOOKUP('Données projet'!$B$9,Paramètres!$A$1:$I$89,3,0)*VLOOKUP('Données projet'!$B$9,Paramètres!$A$1:$I$89,5,0)</f>
        <v>32.599962352941169</v>
      </c>
      <c r="P14" s="13">
        <f t="shared" si="33"/>
        <v>10.014532796032778</v>
      </c>
      <c r="Q14" s="20">
        <f t="shared" si="2"/>
        <v>74.220245717796288</v>
      </c>
      <c r="R14" s="59">
        <f t="shared" si="0"/>
        <v>344.33135682890742</v>
      </c>
      <c r="S14" s="59">
        <f ca="1">AVERAGE(OFFSET($R$3,0,0,'Données projet'!$E$9+1,1))-AVERAGE(OFFSET($H$3,0,0,'Données projet'!$E$9+1,1))</f>
        <v>289.01603252482897</v>
      </c>
      <c r="T14" s="59">
        <f t="shared" si="34"/>
        <v>233.84231920589906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38.687955428571414</v>
      </c>
      <c r="AK14" s="13">
        <f t="shared" si="35"/>
        <v>11.650217223542473</v>
      </c>
      <c r="AL14" s="20">
        <f t="shared" si="4"/>
        <v>87.672317369098337</v>
      </c>
      <c r="AM14" s="59">
        <f t="shared" si="5"/>
        <v>357.78342848020947</v>
      </c>
      <c r="AN14" s="59">
        <f ca="1">AVERAGE(OFFSET($AM$3,0,0,'Données projet'!$E$10+1,1))-AVERAGE(OFFSET($H$3,0,0,'Données projet'!$E$10+1,1))</f>
        <v>581.88778927327667</v>
      </c>
      <c r="AO14" s="59">
        <f t="shared" si="36"/>
        <v>269.67340993773422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43.357191428571419</v>
      </c>
      <c r="BF14" s="13">
        <f t="shared" si="37"/>
        <v>12.884254354928219</v>
      </c>
      <c r="BG14" s="20">
        <f t="shared" si="7"/>
        <v>97.953851406261848</v>
      </c>
      <c r="BH14" s="59">
        <f t="shared" si="8"/>
        <v>368.06496251737298</v>
      </c>
      <c r="BI14" s="59">
        <f ca="1">AVERAGE(OFFSET($BH$3,0,0,'Données projet'!$E$11+1,1))-AVERAGE(OFFSET($H$3,0,0,'Données projet'!$E$11+1,1))</f>
        <v>646.50767193970182</v>
      </c>
      <c r="BJ14" s="59">
        <f t="shared" si="38"/>
        <v>297.06786598620607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28.682449714285706</v>
      </c>
      <c r="CA14" s="13">
        <f t="shared" si="39"/>
        <v>8.9433818776468605</v>
      </c>
      <c r="CB14" s="20">
        <f t="shared" si="10"/>
        <v>65.531656689282556</v>
      </c>
      <c r="CC14" s="59">
        <f t="shared" si="11"/>
        <v>335.6427678003937</v>
      </c>
      <c r="CD14" s="59">
        <f ca="1">AVERAGE(OFFSET($CC$3,0,0,'Données projet'!$E$12+1,1))-AVERAGE(OFFSET($H$3,0,0,'Données projet'!$E$12+1,1))</f>
        <v>442.85175349826028</v>
      </c>
      <c r="CE14" s="59">
        <f t="shared" si="40"/>
        <v>210.70697808232501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6.3325490196078427</v>
      </c>
      <c r="N15" s="13">
        <f>IF('Données projet'!$A$36&gt;35,N14+M15-V14,IF(A15&lt;'Données projet'!$A$36,$K$205^A15,IF(A15='Données projet'!$A$36,'Données projet'!$B$36,N14+M15-V14)))</f>
        <v>75.990588235294098</v>
      </c>
      <c r="O15" s="13">
        <f>N15*VLOOKUP('Données projet'!$B$9,Paramètres!$A$1:$I$89,3,0)*VLOOKUP('Données projet'!$B$9,Paramètres!$A$1:$I$89,5,0)</f>
        <v>35.56359529411764</v>
      </c>
      <c r="P15" s="13">
        <f t="shared" si="33"/>
        <v>10.814854116492235</v>
      </c>
      <c r="Q15" s="20">
        <f t="shared" si="2"/>
        <v>80.775799390145536</v>
      </c>
      <c r="R15" s="59">
        <f t="shared" si="0"/>
        <v>352.10913272347887</v>
      </c>
      <c r="S15" s="59">
        <f ca="1">AVERAGE(OFFSET($R$3,0,0,'Données projet'!$E$9+1,1))-AVERAGE(OFFSET($H$3,0,0,'Données projet'!$E$9+1,1))</f>
        <v>289.01603252482897</v>
      </c>
      <c r="T15" s="59">
        <f t="shared" si="34"/>
        <v>233.84231920589906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42.205042285714271</v>
      </c>
      <c r="AK15" s="13">
        <f t="shared" si="35"/>
        <v>12.581255887241159</v>
      </c>
      <c r="AL15" s="20">
        <f t="shared" si="4"/>
        <v>95.419469317897367</v>
      </c>
      <c r="AM15" s="59">
        <f t="shared" si="5"/>
        <v>366.7528026512307</v>
      </c>
      <c r="AN15" s="59">
        <f ca="1">AVERAGE(OFFSET($AM$3,0,0,'Données projet'!$E$10+1,1))-AVERAGE(OFFSET($H$3,0,0,'Données projet'!$E$10+1,1))</f>
        <v>581.88778927327667</v>
      </c>
      <c r="AO15" s="59">
        <f t="shared" si="36"/>
        <v>269.67340993773422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47.298754285714274</v>
      </c>
      <c r="BF15" s="13">
        <f t="shared" si="37"/>
        <v>13.913912319856609</v>
      </c>
      <c r="BG15" s="20">
        <f t="shared" si="7"/>
        <v>106.6120610047026</v>
      </c>
      <c r="BH15" s="59">
        <f t="shared" si="8"/>
        <v>377.9453943380359</v>
      </c>
      <c r="BI15" s="59">
        <f ca="1">AVERAGE(OFFSET($BH$3,0,0,'Données projet'!$E$11+1,1))-AVERAGE(OFFSET($H$3,0,0,'Données projet'!$E$11+1,1))</f>
        <v>646.50767193970182</v>
      </c>
      <c r="BJ15" s="59">
        <f t="shared" si="38"/>
        <v>297.06786598620607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31.289945142857132</v>
      </c>
      <c r="CA15" s="13">
        <f t="shared" si="39"/>
        <v>9.6581011101333694</v>
      </c>
      <c r="CB15" s="20">
        <f t="shared" si="10"/>
        <v>71.317847223958452</v>
      </c>
      <c r="CC15" s="59">
        <f t="shared" si="11"/>
        <v>342.65118055729175</v>
      </c>
      <c r="CD15" s="59">
        <f ca="1">AVERAGE(OFFSET($CC$3,0,0,'Données projet'!$E$12+1,1))-AVERAGE(OFFSET($H$3,0,0,'Données projet'!$E$12+1,1))</f>
        <v>442.85175349826028</v>
      </c>
      <c r="CE15" s="59">
        <f t="shared" si="40"/>
        <v>210.70697808232501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6.3325490196078427</v>
      </c>
      <c r="N16" s="13">
        <f>IF('Données projet'!$A$36&gt;35,N15+M16-V15,IF(A16&lt;'Données projet'!$A$36,$K$205^A16,IF(A16='Données projet'!$A$36,'Données projet'!$B$36,N15+M16-V15)))</f>
        <v>82.323137254901937</v>
      </c>
      <c r="O16" s="13">
        <f>N16*VLOOKUP('Données projet'!$B$9,Paramètres!$A$1:$I$89,3,0)*VLOOKUP('Données projet'!$B$9,Paramètres!$A$1:$I$89,5,0)</f>
        <v>38.527228235294103</v>
      </c>
      <c r="P16" s="13">
        <f t="shared" si="33"/>
        <v>11.607440406144804</v>
      </c>
      <c r="Q16" s="20">
        <f t="shared" si="2"/>
        <v>87.317881217172769</v>
      </c>
      <c r="R16" s="59">
        <f t="shared" si="0"/>
        <v>359.87343677272833</v>
      </c>
      <c r="S16" s="59">
        <f ca="1">AVERAGE(OFFSET($R$3,0,0,'Données projet'!$E$9+1,1))-AVERAGE(OFFSET($H$3,0,0,'Données projet'!$E$9+1,1))</f>
        <v>289.01603252482897</v>
      </c>
      <c r="T16" s="59">
        <f t="shared" si="34"/>
        <v>233.84231920589906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45.722129142857128</v>
      </c>
      <c r="AK16" s="13">
        <f t="shared" si="35"/>
        <v>13.50329614922042</v>
      </c>
      <c r="AL16" s="20">
        <f t="shared" si="4"/>
        <v>103.1509490503684</v>
      </c>
      <c r="AM16" s="59">
        <f t="shared" si="5"/>
        <v>375.70650460592395</v>
      </c>
      <c r="AN16" s="59">
        <f ca="1">AVERAGE(OFFSET($AM$3,0,0,'Données projet'!$E$10+1,1))-AVERAGE(OFFSET($H$3,0,0,'Données projet'!$E$10+1,1))</f>
        <v>581.88778927327667</v>
      </c>
      <c r="AO16" s="59">
        <f t="shared" si="36"/>
        <v>269.67340993773422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51.240317142857123</v>
      </c>
      <c r="BF16" s="13">
        <f t="shared" si="37"/>
        <v>14.933618736730883</v>
      </c>
      <c r="BG16" s="20">
        <f t="shared" si="7"/>
        <v>115.25293832361577</v>
      </c>
      <c r="BH16" s="59">
        <f t="shared" si="8"/>
        <v>387.80849387917129</v>
      </c>
      <c r="BI16" s="59">
        <f ca="1">AVERAGE(OFFSET($BH$3,0,0,'Données projet'!$E$11+1,1))-AVERAGE(OFFSET($H$3,0,0,'Données projet'!$E$11+1,1))</f>
        <v>646.50767193970182</v>
      </c>
      <c r="BJ16" s="59">
        <f t="shared" si="38"/>
        <v>297.06786598620607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33.897440571428561</v>
      </c>
      <c r="CA16" s="13">
        <f t="shared" si="39"/>
        <v>10.365912647997442</v>
      </c>
      <c r="CB16" s="20">
        <f t="shared" si="10"/>
        <v>77.09200685716695</v>
      </c>
      <c r="CC16" s="59">
        <f t="shared" si="11"/>
        <v>349.64756241272249</v>
      </c>
      <c r="CD16" s="59">
        <f ca="1">AVERAGE(OFFSET($CC$3,0,0,'Données projet'!$E$12+1,1))-AVERAGE(OFFSET($H$3,0,0,'Données projet'!$E$12+1,1))</f>
        <v>442.85175349826028</v>
      </c>
      <c r="CE16" s="59">
        <f t="shared" si="40"/>
        <v>210.70697808232501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6.3325490196078427</v>
      </c>
      <c r="N17" s="13">
        <f>IF('Données projet'!$A$36&gt;35,N16+M17-V16,IF(A17&lt;'Données projet'!$A$36,$K$205^A17,IF(A17='Données projet'!$A$36,'Données projet'!$B$36,N16+M17-V16)))</f>
        <v>88.655686274509776</v>
      </c>
      <c r="O17" s="13">
        <f>N17*VLOOKUP('Données projet'!$B$9,Paramètres!$A$1:$I$89,3,0)*VLOOKUP('Données projet'!$B$9,Paramètres!$A$1:$I$89,5,0)</f>
        <v>41.490861176470574</v>
      </c>
      <c r="P17" s="13">
        <f t="shared" si="33"/>
        <v>12.392954318608655</v>
      </c>
      <c r="Q17" s="20">
        <f t="shared" si="2"/>
        <v>93.847645320596328</v>
      </c>
      <c r="R17" s="59">
        <f t="shared" si="0"/>
        <v>367.62542309837409</v>
      </c>
      <c r="S17" s="59">
        <f ca="1">AVERAGE(OFFSET($R$3,0,0,'Données projet'!$E$9+1,1))-AVERAGE(OFFSET($H$3,0,0,'Données projet'!$E$9+1,1))</f>
        <v>289.01603252482897</v>
      </c>
      <c r="T17" s="59">
        <f t="shared" si="34"/>
        <v>233.84231920589906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49.239215999999978</v>
      </c>
      <c r="AK17" s="13">
        <f t="shared" si="35"/>
        <v>14.417108895027585</v>
      </c>
      <c r="AL17" s="20">
        <f t="shared" si="4"/>
        <v>110.86809919217301</v>
      </c>
      <c r="AM17" s="59">
        <f t="shared" si="5"/>
        <v>384.64587696995079</v>
      </c>
      <c r="AN17" s="59">
        <f ca="1">AVERAGE(OFFSET($AM$3,0,0,'Données projet'!$E$10+1,1))-AVERAGE(OFFSET($H$3,0,0,'Données projet'!$E$10+1,1))</f>
        <v>581.88778927327667</v>
      </c>
      <c r="AO17" s="59">
        <f t="shared" si="36"/>
        <v>269.67340993773422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55.181879999999985</v>
      </c>
      <c r="BF17" s="13">
        <f t="shared" si="37"/>
        <v>15.944226146347479</v>
      </c>
      <c r="BG17" s="20">
        <f t="shared" si="7"/>
        <v>123.87796820488852</v>
      </c>
      <c r="BH17" s="59">
        <f t="shared" si="8"/>
        <v>397.6557459826663</v>
      </c>
      <c r="BI17" s="59">
        <f ca="1">AVERAGE(OFFSET($BH$3,0,0,'Données projet'!$E$11+1,1))-AVERAGE(OFFSET($H$3,0,0,'Données projet'!$E$11+1,1))</f>
        <v>646.50767193970182</v>
      </c>
      <c r="BJ17" s="59">
        <f t="shared" si="38"/>
        <v>297.06786598620607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36.504935999999987</v>
      </c>
      <c r="CA17" s="13">
        <f t="shared" si="39"/>
        <v>11.06740826765847</v>
      </c>
      <c r="CB17" s="20">
        <f t="shared" si="10"/>
        <v>82.855166266171821</v>
      </c>
      <c r="CC17" s="59">
        <f t="shared" si="11"/>
        <v>356.63294404394958</v>
      </c>
      <c r="CD17" s="59">
        <f ca="1">AVERAGE(OFFSET($CC$3,0,0,'Données projet'!$E$12+1,1))-AVERAGE(OFFSET($H$3,0,0,'Données projet'!$E$12+1,1))</f>
        <v>442.85175349826028</v>
      </c>
      <c r="CE17" s="59">
        <f t="shared" si="40"/>
        <v>210.70697808232501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6.3325490196078427</v>
      </c>
      <c r="N18" s="13">
        <f>IF('Données projet'!$A$36&gt;35,N17+M18-V17,IF(A18&lt;'Données projet'!$A$36,$K$205^A18,IF(A18='Données projet'!$A$36,'Données projet'!$B$36,N17+M18-V17)))</f>
        <v>94.988235294117615</v>
      </c>
      <c r="O18" s="13">
        <f>N18*VLOOKUP('Données projet'!$B$9,Paramètres!$A$1:$I$89,3,0)*VLOOKUP('Données projet'!$B$9,Paramètres!$A$1:$I$89,5,0)</f>
        <v>44.454494117647045</v>
      </c>
      <c r="P18" s="13">
        <f t="shared" si="33"/>
        <v>13.171958478545204</v>
      </c>
      <c r="Q18" s="20">
        <f t="shared" si="2"/>
        <v>100.36607160503483</v>
      </c>
      <c r="R18" s="59">
        <f t="shared" si="0"/>
        <v>375.36607160503485</v>
      </c>
      <c r="S18" s="59">
        <f ca="1">AVERAGE(OFFSET($R$3,0,0,'Données projet'!$E$9+1,1))-AVERAGE(OFFSET($H$3,0,0,'Données projet'!$E$9+1,1))</f>
        <v>289.01603252482897</v>
      </c>
      <c r="T18" s="59">
        <f t="shared" si="34"/>
        <v>233.84231920589906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52.756302857142842</v>
      </c>
      <c r="AK18" s="13">
        <f t="shared" si="35"/>
        <v>15.323348643415981</v>
      </c>
      <c r="AL18" s="20">
        <f t="shared" si="4"/>
        <v>118.57205969680662</v>
      </c>
      <c r="AM18" s="59">
        <f t="shared" si="5"/>
        <v>393.5720596968066</v>
      </c>
      <c r="AN18" s="59">
        <f ca="1">AVERAGE(OFFSET($AM$3,0,0,'Données projet'!$E$10+1,1))-AVERAGE(OFFSET($H$3,0,0,'Données projet'!$E$10+1,1))</f>
        <v>581.88778927327667</v>
      </c>
      <c r="AO18" s="59">
        <f t="shared" si="36"/>
        <v>269.67340993773422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59.123442857142841</v>
      </c>
      <c r="BF18" s="13">
        <f t="shared" si="37"/>
        <v>16.946458396677293</v>
      </c>
      <c r="BG18" s="20">
        <f t="shared" si="7"/>
        <v>132.4884113504034</v>
      </c>
      <c r="BH18" s="59">
        <f t="shared" si="8"/>
        <v>407.4884113504034</v>
      </c>
      <c r="BI18" s="59">
        <f ca="1">AVERAGE(OFFSET($BH$3,0,0,'Données projet'!$E$11+1,1))-AVERAGE(OFFSET($H$3,0,0,'Données projet'!$E$11+1,1))</f>
        <v>646.50767193970182</v>
      </c>
      <c r="BJ18" s="59">
        <f t="shared" si="38"/>
        <v>297.06786598620607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39.112431428571419</v>
      </c>
      <c r="CA18" s="13">
        <f t="shared" si="39"/>
        <v>11.763090415641251</v>
      </c>
      <c r="CB18" s="20">
        <f t="shared" si="10"/>
        <v>88.60820054533707</v>
      </c>
      <c r="CC18" s="59">
        <f t="shared" si="11"/>
        <v>363.60820054533707</v>
      </c>
      <c r="CD18" s="59">
        <f ca="1">AVERAGE(OFFSET($CC$3,0,0,'Données projet'!$E$12+1,1))-AVERAGE(OFFSET($H$3,0,0,'Données projet'!$E$12+1,1))</f>
        <v>442.85175349826028</v>
      </c>
      <c r="CE18" s="59">
        <f t="shared" si="40"/>
        <v>210.70697808232501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6.3325490196078427</v>
      </c>
      <c r="N19" s="13">
        <f>IF('Données projet'!$A$36&gt;35,N18+M19-V18,IF(A19&lt;'Données projet'!$A$36,$K$205^A19,IF(A19='Données projet'!$A$36,'Données projet'!$B$36,N18+M19-V18)))</f>
        <v>101.32078431372545</v>
      </c>
      <c r="O19" s="13">
        <f>N19*VLOOKUP('Données projet'!$B$9,Paramètres!$A$1:$I$89,3,0)*VLOOKUP('Données projet'!$B$9,Paramètres!$A$1:$I$89,5,0)</f>
        <v>47.418127058823515</v>
      </c>
      <c r="P19" s="13">
        <f t="shared" si="33"/>
        <v>13.944936249957722</v>
      </c>
      <c r="Q19" s="20">
        <f t="shared" si="2"/>
        <v>106.87400192946065</v>
      </c>
      <c r="R19" s="59">
        <f t="shared" si="0"/>
        <v>383.09622415168286</v>
      </c>
      <c r="S19" s="59">
        <f ca="1">AVERAGE(OFFSET($R$3,0,0,'Données projet'!$E$9+1,1))-AVERAGE(OFFSET($H$3,0,0,'Données projet'!$E$9+1,1))</f>
        <v>289.01603252482897</v>
      </c>
      <c r="T19" s="59">
        <f t="shared" si="34"/>
        <v>233.84231920589906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56.273389714285692</v>
      </c>
      <c r="AK19" s="13">
        <f t="shared" si="35"/>
        <v>16.222577706752112</v>
      </c>
      <c r="AL19" s="20">
        <f t="shared" si="4"/>
        <v>126.26380992497417</v>
      </c>
      <c r="AM19" s="59">
        <f t="shared" si="5"/>
        <v>402.4860321471964</v>
      </c>
      <c r="AN19" s="59">
        <f ca="1">AVERAGE(OFFSET($AM$3,0,0,'Données projet'!$E$10+1,1))-AVERAGE(OFFSET($H$3,0,0,'Données projet'!$E$10+1,1))</f>
        <v>581.88778927327667</v>
      </c>
      <c r="AO19" s="59">
        <f t="shared" si="36"/>
        <v>269.67340993773422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63.065005714285689</v>
      </c>
      <c r="BF19" s="13">
        <f t="shared" si="37"/>
        <v>17.940937362438909</v>
      </c>
      <c r="BG19" s="20">
        <f t="shared" si="7"/>
        <v>141.08535085862869</v>
      </c>
      <c r="BH19" s="59">
        <f t="shared" si="8"/>
        <v>417.30757308085094</v>
      </c>
      <c r="BI19" s="59">
        <f ca="1">AVERAGE(OFFSET($BH$3,0,0,'Données projet'!$E$11+1,1))-AVERAGE(OFFSET($H$3,0,0,'Données projet'!$E$11+1,1))</f>
        <v>646.50767193970182</v>
      </c>
      <c r="BJ19" s="59">
        <f t="shared" si="38"/>
        <v>297.06786598620607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41.719926857142838</v>
      </c>
      <c r="CA19" s="13">
        <f t="shared" si="39"/>
        <v>12.453390755504644</v>
      </c>
      <c r="CB19" s="20">
        <f t="shared" si="10"/>
        <v>94.351861508694356</v>
      </c>
      <c r="CC19" s="59">
        <f t="shared" si="11"/>
        <v>370.57408373091658</v>
      </c>
      <c r="CD19" s="59">
        <f ca="1">AVERAGE(OFFSET($CC$3,0,0,'Données projet'!$E$12+1,1))-AVERAGE(OFFSET($H$3,0,0,'Données projet'!$E$12+1,1))</f>
        <v>442.85175349826028</v>
      </c>
      <c r="CE19" s="59">
        <f t="shared" si="40"/>
        <v>210.70697808232501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6.3325490196078427</v>
      </c>
      <c r="N20" s="13">
        <f>IF('Données projet'!$A$36&gt;35,N19+M20-V19,IF(A20&lt;'Données projet'!$A$36,$K$205^A20,IF(A20='Données projet'!$A$36,'Données projet'!$B$36,N19+M20-V19)))</f>
        <v>107.65333333333329</v>
      </c>
      <c r="O20" s="13">
        <f>N20*VLOOKUP('Données projet'!$B$9,Paramètres!$A$1:$I$89,3,0)*VLOOKUP('Données projet'!$B$9,Paramètres!$A$1:$I$89,5,0)</f>
        <v>50.381759999999979</v>
      </c>
      <c r="P20" s="13">
        <f t="shared" si="33"/>
        <v>14.71230716137139</v>
      </c>
      <c r="Q20" s="20">
        <f t="shared" si="2"/>
        <v>113.3721669727218</v>
      </c>
      <c r="R20" s="59">
        <f t="shared" si="0"/>
        <v>390.81661141716626</v>
      </c>
      <c r="S20" s="59">
        <f ca="1">AVERAGE(OFFSET($R$3,0,0,'Données projet'!$E$9+1,1))-AVERAGE(OFFSET($H$3,0,0,'Données projet'!$E$9+1,1))</f>
        <v>289.01603252482897</v>
      </c>
      <c r="T20" s="59">
        <f t="shared" si="34"/>
        <v>233.84231920589906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59.790476571428549</v>
      </c>
      <c r="AK20" s="13">
        <f t="shared" si="35"/>
        <v>17.115284135607041</v>
      </c>
      <c r="AL20" s="20">
        <f t="shared" si="4"/>
        <v>133.94419989808699</v>
      </c>
      <c r="AM20" s="59">
        <f t="shared" si="5"/>
        <v>411.38864434253145</v>
      </c>
      <c r="AN20" s="59">
        <f ca="1">AVERAGE(OFFSET($AM$3,0,0,'Données projet'!$E$10+1,1))-AVERAGE(OFFSET($H$3,0,0,'Données projet'!$E$10+1,1))</f>
        <v>581.88778927327667</v>
      </c>
      <c r="AO20" s="59">
        <f t="shared" si="36"/>
        <v>269.67340993773422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67.006568571428559</v>
      </c>
      <c r="BF20" s="13">
        <f t="shared" si="37"/>
        <v>18.928202790452044</v>
      </c>
      <c r="BG20" s="20">
        <f t="shared" si="7"/>
        <v>149.66972678860873</v>
      </c>
      <c r="BH20" s="59">
        <f t="shared" si="8"/>
        <v>427.11417123305318</v>
      </c>
      <c r="BI20" s="59">
        <f ca="1">AVERAGE(OFFSET($BH$3,0,0,'Données projet'!$E$11+1,1))-AVERAGE(OFFSET($H$3,0,0,'Données projet'!$E$11+1,1))</f>
        <v>646.50767193970182</v>
      </c>
      <c r="BJ20" s="59">
        <f t="shared" si="38"/>
        <v>297.06786598620607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44.32742228571427</v>
      </c>
      <c r="CA20" s="13">
        <f t="shared" si="39"/>
        <v>13.138683943149809</v>
      </c>
      <c r="CB20" s="20">
        <f t="shared" si="10"/>
        <v>100.08680168193827</v>
      </c>
      <c r="CC20" s="59">
        <f t="shared" si="11"/>
        <v>377.53124612638271</v>
      </c>
      <c r="CD20" s="59">
        <f ca="1">AVERAGE(OFFSET($CC$3,0,0,'Données projet'!$E$12+1,1))-AVERAGE(OFFSET($H$3,0,0,'Données projet'!$E$12+1,1))</f>
        <v>442.85175349826028</v>
      </c>
      <c r="CE20" s="59">
        <f t="shared" si="40"/>
        <v>210.70697808232501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6.3325490196078427</v>
      </c>
      <c r="N21" s="13">
        <f>IF('Données projet'!$A$36&gt;35,N20+M21-V20,IF(A21&lt;'Données projet'!$A$36,$K$205^A21,IF(A21='Données projet'!$A$36,'Données projet'!$B$36,N20+M21-V20)))</f>
        <v>113.98588235294113</v>
      </c>
      <c r="O21" s="13">
        <f>N21*VLOOKUP('Données projet'!$B$9,Paramètres!$A$1:$I$89,3,0)*VLOOKUP('Données projet'!$B$9,Paramètres!$A$1:$I$89,5,0)</f>
        <v>53.345392941176449</v>
      </c>
      <c r="P21" s="13">
        <f t="shared" si="33"/>
        <v>15.474438596841097</v>
      </c>
      <c r="Q21" s="20">
        <f t="shared" si="2"/>
        <v>119.86120659538057</v>
      </c>
      <c r="R21" s="59">
        <f t="shared" si="0"/>
        <v>398.52787326204725</v>
      </c>
      <c r="S21" s="59">
        <f ca="1">AVERAGE(OFFSET($R$3,0,0,'Données projet'!$E$9+1,1))-AVERAGE(OFFSET($H$3,0,0,'Données projet'!$E$9+1,1))</f>
        <v>289.01603252482897</v>
      </c>
      <c r="T21" s="59">
        <f t="shared" si="34"/>
        <v>233.84231920589906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63.307563428571406</v>
      </c>
      <c r="AK21" s="13">
        <f t="shared" si="35"/>
        <v>18.001895319269028</v>
      </c>
      <c r="AL21" s="20">
        <f t="shared" si="4"/>
        <v>141.61397398582207</v>
      </c>
      <c r="AM21" s="59">
        <f t="shared" si="5"/>
        <v>420.28064065248873</v>
      </c>
      <c r="AN21" s="59">
        <f ca="1">AVERAGE(OFFSET($AM$3,0,0,'Données projet'!$E$10+1,1))-AVERAGE(OFFSET($H$3,0,0,'Données projet'!$E$10+1,1))</f>
        <v>581.88778927327667</v>
      </c>
      <c r="AO21" s="59">
        <f t="shared" si="36"/>
        <v>269.67340993773422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70.948131428571415</v>
      </c>
      <c r="BF21" s="13">
        <f t="shared" si="37"/>
        <v>19.908727340770373</v>
      </c>
      <c r="BG21" s="20">
        <f t="shared" si="7"/>
        <v>158.24236235660359</v>
      </c>
      <c r="BH21" s="59">
        <f t="shared" si="8"/>
        <v>436.90902902327025</v>
      </c>
      <c r="BI21" s="59">
        <f ca="1">AVERAGE(OFFSET($BH$3,0,0,'Données projet'!$E$11+1,1))-AVERAGE(OFFSET($H$3,0,0,'Données projet'!$E$11+1,1))</f>
        <v>646.50767193970182</v>
      </c>
      <c r="BJ21" s="59">
        <f t="shared" si="38"/>
        <v>297.06786598620607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46.934917714285703</v>
      </c>
      <c r="CA21" s="13">
        <f t="shared" si="39"/>
        <v>13.819298067361865</v>
      </c>
      <c r="CB21" s="20">
        <f t="shared" si="10"/>
        <v>105.8135924863695</v>
      </c>
      <c r="CC21" s="59">
        <f t="shared" si="11"/>
        <v>384.48025915303617</v>
      </c>
      <c r="CD21" s="59">
        <f ca="1">AVERAGE(OFFSET($CC$3,0,0,'Données projet'!$E$12+1,1))-AVERAGE(OFFSET($H$3,0,0,'Données projet'!$E$12+1,1))</f>
        <v>442.85175349826028</v>
      </c>
      <c r="CE21" s="59">
        <f t="shared" si="40"/>
        <v>210.70697808232501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6.3325490196078427</v>
      </c>
      <c r="N22" s="13">
        <f>IF('Données projet'!$A$36&gt;35,N21+M22-V21,IF(A22&lt;'Données projet'!$A$36,$K$205^A22,IF(A22='Données projet'!$A$36,'Données projet'!$B$36,N21+M22-V21)))</f>
        <v>120.31843137254897</v>
      </c>
      <c r="O22" s="13">
        <f>N22*VLOOKUP('Données projet'!$B$9,Paramètres!$A$1:$I$89,3,0)*VLOOKUP('Données projet'!$B$9,Paramètres!$A$1:$I$89,5,0)</f>
        <v>56.30902588235292</v>
      </c>
      <c r="P22" s="13">
        <f t="shared" si="33"/>
        <v>16.231654814475174</v>
      </c>
      <c r="Q22" s="20">
        <f t="shared" si="2"/>
        <v>126.3416855469756</v>
      </c>
      <c r="R22" s="59">
        <f t="shared" si="0"/>
        <v>406.23057443586447</v>
      </c>
      <c r="S22" s="59">
        <f ca="1">AVERAGE(OFFSET($R$3,0,0,'Données projet'!$E$9+1,1))-AVERAGE(OFFSET($H$3,0,0,'Données projet'!$E$9+1,1))</f>
        <v>289.01603252482897</v>
      </c>
      <c r="T22" s="59">
        <f t="shared" si="34"/>
        <v>233.84231920589906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66.82465028571427</v>
      </c>
      <c r="AK22" s="13">
        <f t="shared" si="35"/>
        <v>18.882788477272459</v>
      </c>
      <c r="AL22" s="20">
        <f t="shared" si="4"/>
        <v>149.27378917886855</v>
      </c>
      <c r="AM22" s="59">
        <f t="shared" si="5"/>
        <v>429.16267806775738</v>
      </c>
      <c r="AN22" s="59">
        <f ca="1">AVERAGE(OFFSET($AM$3,0,0,'Données projet'!$E$10+1,1))-AVERAGE(OFFSET($H$3,0,0,'Données projet'!$E$10+1,1))</f>
        <v>581.88778927327667</v>
      </c>
      <c r="AO22" s="59">
        <f t="shared" si="36"/>
        <v>269.67340993773422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74.889694285714285</v>
      </c>
      <c r="BF22" s="13">
        <f t="shared" si="37"/>
        <v>20.882928189514811</v>
      </c>
      <c r="BG22" s="20">
        <f t="shared" si="7"/>
        <v>166.80398414435732</v>
      </c>
      <c r="BH22" s="59">
        <f t="shared" si="8"/>
        <v>446.6928730332462</v>
      </c>
      <c r="BI22" s="59">
        <f ca="1">AVERAGE(OFFSET($BH$3,0,0,'Données projet'!$E$11+1,1))-AVERAGE(OFFSET($H$3,0,0,'Données projet'!$E$11+1,1))</f>
        <v>646.50767193970182</v>
      </c>
      <c r="BJ22" s="59">
        <f t="shared" si="38"/>
        <v>297.06786598620607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49.542413142857136</v>
      </c>
      <c r="CA22" s="13">
        <f t="shared" si="39"/>
        <v>14.495522703715517</v>
      </c>
      <c r="CB22" s="20">
        <f t="shared" si="10"/>
        <v>111.53273826611404</v>
      </c>
      <c r="CC22" s="59">
        <f t="shared" si="11"/>
        <v>391.42162715500291</v>
      </c>
      <c r="CD22" s="59">
        <f ca="1">AVERAGE(OFFSET($CC$3,0,0,'Données projet'!$E$12+1,1))-AVERAGE(OFFSET($H$3,0,0,'Données projet'!$E$12+1,1))</f>
        <v>442.85175349826028</v>
      </c>
      <c r="CE22" s="59">
        <f t="shared" si="40"/>
        <v>210.70697808232501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6.3325490196078427</v>
      </c>
      <c r="N23" s="13">
        <f>IF('Données projet'!$A$36&gt;35,N22+M23-V22,IF(A23&lt;'Données projet'!$A$36,$K$205^A23,IF(A23='Données projet'!$A$36,'Données projet'!$B$36,N22+M23-V22)))</f>
        <v>126.65098039215681</v>
      </c>
      <c r="O23" s="13">
        <f>N23*VLOOKUP('Données projet'!$B$9,Paramètres!$A$1:$I$89,3,0)*VLOOKUP('Données projet'!$B$9,Paramètres!$A$1:$I$89,5,0)</f>
        <v>59.27265882352939</v>
      </c>
      <c r="P23" s="13">
        <f t="shared" si="33"/>
        <v>16.984244012158705</v>
      </c>
      <c r="Q23" s="20">
        <f t="shared" si="2"/>
        <v>132.81410577215675</v>
      </c>
      <c r="R23" s="59">
        <f t="shared" si="0"/>
        <v>413.92521688326792</v>
      </c>
      <c r="S23" s="59">
        <f ca="1">AVERAGE(OFFSET($R$3,0,0,'Données projet'!$E$9+1,1))-AVERAGE(OFFSET($H$3,0,0,'Données projet'!$E$9+1,1))</f>
        <v>289.01603252482897</v>
      </c>
      <c r="T23" s="59">
        <f t="shared" si="34"/>
        <v>233.84231920589906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70.341737142857127</v>
      </c>
      <c r="AK23" s="13">
        <f t="shared" si="35"/>
        <v>19.758298879173367</v>
      </c>
      <c r="AL23" s="20">
        <f t="shared" si="4"/>
        <v>156.92422940503644</v>
      </c>
      <c r="AM23" s="59">
        <f t="shared" si="5"/>
        <v>438.03534051614758</v>
      </c>
      <c r="AN23" s="59">
        <f ca="1">AVERAGE(OFFSET($AM$3,0,0,'Données projet'!$E$10+1,1))-AVERAGE(OFFSET($H$3,0,0,'Données projet'!$E$10+1,1))</f>
        <v>581.88778927327667</v>
      </c>
      <c r="AO23" s="59">
        <f t="shared" si="36"/>
        <v>269.67340993773422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78.83125714285714</v>
      </c>
      <c r="BF23" s="13">
        <f t="shared" si="37"/>
        <v>21.851176119320101</v>
      </c>
      <c r="BG23" s="20">
        <f t="shared" si="7"/>
        <v>175.35523793162534</v>
      </c>
      <c r="BH23" s="59">
        <f t="shared" si="8"/>
        <v>456.46634904273651</v>
      </c>
      <c r="BI23" s="59">
        <f ca="1">AVERAGE(OFFSET($BH$3,0,0,'Données projet'!$E$11+1,1))-AVERAGE(OFFSET($H$3,0,0,'Données projet'!$E$11+1,1))</f>
        <v>646.50767193970182</v>
      </c>
      <c r="BJ23" s="59">
        <f t="shared" si="38"/>
        <v>297.06786598620607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52.149908571428568</v>
      </c>
      <c r="CA23" s="13">
        <f t="shared" si="39"/>
        <v>15.167615224551032</v>
      </c>
      <c r="CB23" s="20">
        <f t="shared" si="10"/>
        <v>117.2446872779978</v>
      </c>
      <c r="CC23" s="59">
        <f t="shared" si="11"/>
        <v>398.35579838910894</v>
      </c>
      <c r="CD23" s="59">
        <f ca="1">AVERAGE(OFFSET($CC$3,0,0,'Données projet'!$E$12+1,1))-AVERAGE(OFFSET($H$3,0,0,'Données projet'!$E$12+1,1))</f>
        <v>442.85175349826028</v>
      </c>
      <c r="CE23" s="59">
        <f t="shared" si="40"/>
        <v>210.70697808232501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6.3325490196078427</v>
      </c>
      <c r="N24" s="13">
        <f>IF('Données projet'!$A$36&gt;35,N23+M24-V23,IF(A24&lt;'Données projet'!$A$36,$K$205^A24,IF(A24='Données projet'!$A$36,'Données projet'!$B$36,N23+M24-V23)))</f>
        <v>132.98352941176466</v>
      </c>
      <c r="O24" s="13">
        <f>N24*VLOOKUP('Données projet'!$B$9,Paramètres!$A$1:$I$89,3,0)*VLOOKUP('Données projet'!$B$9,Paramètres!$A$1:$I$89,5,0)</f>
        <v>62.236291764705861</v>
      </c>
      <c r="P24" s="13">
        <f t="shared" si="33"/>
        <v>17.732463939972927</v>
      </c>
      <c r="Q24" s="20">
        <f t="shared" si="2"/>
        <v>139.27891618564885</v>
      </c>
      <c r="R24" s="59">
        <f t="shared" si="0"/>
        <v>421.61224951898214</v>
      </c>
      <c r="S24" s="59">
        <f ca="1">AVERAGE(OFFSET($R$3,0,0,'Données projet'!$E$9+1,1))-AVERAGE(OFFSET($H$3,0,0,'Données projet'!$E$9+1,1))</f>
        <v>289.01603252482897</v>
      </c>
      <c r="T24" s="59">
        <f t="shared" si="34"/>
        <v>233.84231920589906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73.858823999999984</v>
      </c>
      <c r="AK24" s="13">
        <f t="shared" si="35"/>
        <v>20.628726373651425</v>
      </c>
      <c r="AL24" s="20">
        <f t="shared" si="4"/>
        <v>164.56581690077618</v>
      </c>
      <c r="AM24" s="59">
        <f t="shared" si="5"/>
        <v>446.89915023410947</v>
      </c>
      <c r="AN24" s="59">
        <f ca="1">AVERAGE(OFFSET($AM$3,0,0,'Données projet'!$E$10+1,1))-AVERAGE(OFFSET($H$3,0,0,'Données projet'!$E$10+1,1))</f>
        <v>581.88778927327667</v>
      </c>
      <c r="AO24" s="59">
        <f t="shared" si="36"/>
        <v>269.67340993773422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82.772819999999996</v>
      </c>
      <c r="BF24" s="13">
        <f t="shared" si="37"/>
        <v>22.813802740025121</v>
      </c>
      <c r="BG24" s="20">
        <f t="shared" si="7"/>
        <v>183.89670127221041</v>
      </c>
      <c r="BH24" s="59">
        <f t="shared" si="8"/>
        <v>466.23003460554372</v>
      </c>
      <c r="BI24" s="59">
        <f ca="1">AVERAGE(OFFSET($BH$3,0,0,'Données projet'!$E$11+1,1))-AVERAGE(OFFSET($H$3,0,0,'Données projet'!$E$11+1,1))</f>
        <v>646.50767193970182</v>
      </c>
      <c r="BJ24" s="59">
        <f t="shared" si="38"/>
        <v>297.06786598620607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54.757403999999994</v>
      </c>
      <c r="CA24" s="13">
        <f t="shared" si="39"/>
        <v>15.835805811091323</v>
      </c>
      <c r="CB24" s="20">
        <f t="shared" si="10"/>
        <v>122.94984042098405</v>
      </c>
      <c r="CC24" s="59">
        <f t="shared" si="11"/>
        <v>405.28317375431737</v>
      </c>
      <c r="CD24" s="59">
        <f ca="1">AVERAGE(OFFSET($CC$3,0,0,'Données projet'!$E$12+1,1))-AVERAGE(OFFSET($H$3,0,0,'Données projet'!$E$12+1,1))</f>
        <v>442.85175349826028</v>
      </c>
      <c r="CE24" s="59">
        <f t="shared" si="40"/>
        <v>210.70697808232501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6.3325490196078427</v>
      </c>
      <c r="N25" s="13">
        <f>IF('Données projet'!$A$36&gt;35,N24+M25-V24,IF(A25&lt;'Données projet'!$A$36,$K$205^A25,IF(A25='Données projet'!$A$36,'Données projet'!$B$36,N24+M25-V24)))</f>
        <v>139.31607843137252</v>
      </c>
      <c r="O25" s="13">
        <f>N25*VLOOKUP('Données projet'!$B$9,Paramètres!$A$1:$I$89,3,0)*VLOOKUP('Données projet'!$B$9,Paramètres!$A$1:$I$89,5,0)</f>
        <v>65.199924705882339</v>
      </c>
      <c r="P25" s="13">
        <f t="shared" si="33"/>
        <v>18.476546413293221</v>
      </c>
      <c r="Q25" s="20">
        <f t="shared" si="2"/>
        <v>145.7365205325641</v>
      </c>
      <c r="R25" s="59">
        <f t="shared" si="0"/>
        <v>429.29207608811964</v>
      </c>
      <c r="S25" s="59">
        <f ca="1">AVERAGE(OFFSET($R$3,0,0,'Données projet'!$E$9+1,1))-AVERAGE(OFFSET($H$3,0,0,'Données projet'!$E$9+1,1))</f>
        <v>289.01603252482897</v>
      </c>
      <c r="T25" s="59">
        <f t="shared" si="34"/>
        <v>233.84231920589906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77.375910857142856</v>
      </c>
      <c r="AK25" s="13">
        <f t="shared" si="35"/>
        <v>21.49434063873689</v>
      </c>
      <c r="AL25" s="20">
        <f t="shared" si="4"/>
        <v>172.19902135532388</v>
      </c>
      <c r="AM25" s="59">
        <f t="shared" si="5"/>
        <v>455.75457691087945</v>
      </c>
      <c r="AN25" s="59">
        <f ca="1">AVERAGE(OFFSET($AM$3,0,0,'Données projet'!$E$10+1,1))-AVERAGE(OFFSET($H$3,0,0,'Données projet'!$E$10+1,1))</f>
        <v>581.88778927327667</v>
      </c>
      <c r="AO25" s="59">
        <f t="shared" si="36"/>
        <v>269.67340993773422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86.714382857142866</v>
      </c>
      <c r="BF25" s="13">
        <f t="shared" si="37"/>
        <v>23.771106295024762</v>
      </c>
      <c r="BG25" s="20">
        <f t="shared" si="7"/>
        <v>192.42889360669196</v>
      </c>
      <c r="BH25" s="59">
        <f t="shared" si="8"/>
        <v>475.98444916224753</v>
      </c>
      <c r="BI25" s="59">
        <f ca="1">AVERAGE(OFFSET($BH$3,0,0,'Données projet'!$E$11+1,1))-AVERAGE(OFFSET($H$3,0,0,'Données projet'!$E$11+1,1))</f>
        <v>646.50767193970182</v>
      </c>
      <c r="BJ25" s="59">
        <f t="shared" si="38"/>
        <v>297.06786598620607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57.364899428571427</v>
      </c>
      <c r="CA25" s="13">
        <f t="shared" si="39"/>
        <v>16.500301483820401</v>
      </c>
      <c r="CB25" s="20">
        <f t="shared" si="10"/>
        <v>128.64855825574909</v>
      </c>
      <c r="CC25" s="59">
        <f t="shared" si="11"/>
        <v>412.20411381130464</v>
      </c>
      <c r="CD25" s="59">
        <f ca="1">AVERAGE(OFFSET($CC$3,0,0,'Données projet'!$E$12+1,1))-AVERAGE(OFFSET($H$3,0,0,'Données projet'!$E$12+1,1))</f>
        <v>442.85175349826028</v>
      </c>
      <c r="CE25" s="59">
        <f t="shared" si="40"/>
        <v>210.70697808232501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6.3325490196078427</v>
      </c>
      <c r="N26" s="13">
        <f>IF('Données projet'!$A$36&gt;35,N25+M26-V25,IF(A26&lt;'Données projet'!$A$36,$K$205^A26,IF(A26='Données projet'!$A$36,'Données projet'!$B$36,N25+M26-V25)))</f>
        <v>145.64862745098037</v>
      </c>
      <c r="O26" s="13">
        <f>N26*VLOOKUP('Données projet'!$B$9,Paramètres!$A$1:$I$89,3,0)*VLOOKUP('Données projet'!$B$9,Paramètres!$A$1:$I$89,5,0)</f>
        <v>68.163557647058809</v>
      </c>
      <c r="P26" s="13">
        <f t="shared" si="33"/>
        <v>19.216700982128117</v>
      </c>
      <c r="Q26" s="20">
        <f t="shared" si="2"/>
        <v>152.18728377916722</v>
      </c>
      <c r="R26" s="59">
        <f t="shared" si="0"/>
        <v>436.96506155694499</v>
      </c>
      <c r="S26" s="59">
        <f ca="1">AVERAGE(OFFSET($R$3,0,0,'Données projet'!$E$9+1,1))-AVERAGE(OFFSET($H$3,0,0,'Données projet'!$E$9+1,1))</f>
        <v>289.01603252482897</v>
      </c>
      <c r="T26" s="59">
        <f t="shared" si="34"/>
        <v>233.84231920589906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80.892997714285713</v>
      </c>
      <c r="AK26" s="13">
        <f t="shared" si="35"/>
        <v>22.355385450466887</v>
      </c>
      <c r="AL26" s="20">
        <f t="shared" si="4"/>
        <v>179.82426734527743</v>
      </c>
      <c r="AM26" s="59">
        <f t="shared" si="5"/>
        <v>464.60204512305518</v>
      </c>
      <c r="AN26" s="59">
        <f ca="1">AVERAGE(OFFSET($AM$3,0,0,'Données projet'!$E$10+1,1))-AVERAGE(OFFSET($H$3,0,0,'Données projet'!$E$10+1,1))</f>
        <v>581.88778927327667</v>
      </c>
      <c r="AO26" s="59">
        <f t="shared" si="36"/>
        <v>269.67340993773422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90.655945714285721</v>
      </c>
      <c r="BF26" s="13">
        <f t="shared" si="37"/>
        <v>24.723356382079128</v>
      </c>
      <c r="BG26" s="20">
        <f t="shared" si="7"/>
        <v>200.95228448450212</v>
      </c>
      <c r="BH26" s="59">
        <f t="shared" si="8"/>
        <v>485.73006226227989</v>
      </c>
      <c r="BI26" s="59">
        <f ca="1">AVERAGE(OFFSET($BH$3,0,0,'Données projet'!$E$11+1,1))-AVERAGE(OFFSET($H$3,0,0,'Données projet'!$E$11+1,1))</f>
        <v>646.50767193970182</v>
      </c>
      <c r="BJ26" s="59">
        <f t="shared" si="38"/>
        <v>297.06786598620607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59.972394857142866</v>
      </c>
      <c r="CA26" s="13">
        <f t="shared" si="39"/>
        <v>17.161289379351366</v>
      </c>
      <c r="CB26" s="20">
        <f t="shared" si="10"/>
        <v>134.34116671189412</v>
      </c>
      <c r="CC26" s="59">
        <f t="shared" si="11"/>
        <v>419.11894448967189</v>
      </c>
      <c r="CD26" s="59">
        <f ca="1">AVERAGE(OFFSET($CC$3,0,0,'Données projet'!$E$12+1,1))-AVERAGE(OFFSET($H$3,0,0,'Données projet'!$E$12+1,1))</f>
        <v>442.85175349826028</v>
      </c>
      <c r="CE26" s="59">
        <f t="shared" si="40"/>
        <v>210.70697808232501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6.3325490196078427</v>
      </c>
      <c r="N27" s="13">
        <f>IF('Données projet'!$A$36&gt;35,N26+M27-V26,IF(A27&lt;'Données projet'!$A$36,$K$205^A27,IF(A27='Données projet'!$A$36,'Données projet'!$B$36,N26+M27-V26)))</f>
        <v>151.98117647058822</v>
      </c>
      <c r="O27" s="13">
        <f>N27*VLOOKUP('Données projet'!$B$9,Paramètres!$A$1:$I$89,3,0)*VLOOKUP('Données projet'!$B$9,Paramètres!$A$1:$I$89,5,0)</f>
        <v>71.12719058823528</v>
      </c>
      <c r="P27" s="13">
        <f t="shared" si="33"/>
        <v>19.953117944306157</v>
      </c>
      <c r="Q27" s="20">
        <f t="shared" si="2"/>
        <v>158.631537360843</v>
      </c>
      <c r="R27" s="59">
        <f t="shared" si="0"/>
        <v>444.63153736084303</v>
      </c>
      <c r="S27" s="59">
        <f ca="1">AVERAGE(OFFSET($R$3,0,0,'Données projet'!$E$9+1,1))-AVERAGE(OFFSET($H$3,0,0,'Données projet'!$E$9+1,1))</f>
        <v>289.01603252482897</v>
      </c>
      <c r="T27" s="59">
        <f t="shared" si="34"/>
        <v>233.84231920589906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84.410084571428584</v>
      </c>
      <c r="AK27" s="13">
        <f t="shared" si="35"/>
        <v>23.212082188219242</v>
      </c>
      <c r="AL27" s="20">
        <f t="shared" si="4"/>
        <v>187.44194043971996</v>
      </c>
      <c r="AM27" s="59">
        <f t="shared" si="5"/>
        <v>473.44194043971993</v>
      </c>
      <c r="AN27" s="59">
        <f ca="1">AVERAGE(OFFSET($AM$3,0,0,'Données projet'!$E$10+1,1))-AVERAGE(OFFSET($H$3,0,0,'Données projet'!$E$10+1,1))</f>
        <v>581.88778927327667</v>
      </c>
      <c r="AO27" s="59">
        <f t="shared" si="36"/>
        <v>269.67340993773422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94.597508571428591</v>
      </c>
      <c r="BF27" s="13">
        <f t="shared" si="37"/>
        <v>25.670797829946185</v>
      </c>
      <c r="BG27" s="20">
        <f t="shared" si="7"/>
        <v>209.4673003157277</v>
      </c>
      <c r="BH27" s="59">
        <f t="shared" si="8"/>
        <v>495.4673003157277</v>
      </c>
      <c r="BI27" s="59">
        <f ca="1">AVERAGE(OFFSET($BH$3,0,0,'Données projet'!$E$11+1,1))-AVERAGE(OFFSET($H$3,0,0,'Données projet'!$E$11+1,1))</f>
        <v>646.50767193970182</v>
      </c>
      <c r="BJ27" s="59">
        <f t="shared" si="38"/>
        <v>297.06786598620607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62.579890285714299</v>
      </c>
      <c r="CA27" s="13">
        <f t="shared" si="39"/>
        <v>17.818939441323689</v>
      </c>
      <c r="CB27" s="20">
        <f t="shared" si="10"/>
        <v>140.02796177459118</v>
      </c>
      <c r="CC27" s="59">
        <f t="shared" si="11"/>
        <v>426.02796177459118</v>
      </c>
      <c r="CD27" s="59">
        <f ca="1">AVERAGE(OFFSET($CC$3,0,0,'Données projet'!$E$12+1,1))-AVERAGE(OFFSET($H$3,0,0,'Données projet'!$E$12+1,1))</f>
        <v>442.85175349826028</v>
      </c>
      <c r="CE27" s="59">
        <f t="shared" si="40"/>
        <v>210.70697808232501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6.3325490196078427</v>
      </c>
      <c r="N28" s="13">
        <f>IF('Données projet'!$A$36&gt;35,N27+M28-V27,IF(A28&lt;'Données projet'!$A$36,$K$205^A28,IF(A28='Données projet'!$A$36,'Données projet'!$B$36,N27+M28-V27)))</f>
        <v>158.31372549019608</v>
      </c>
      <c r="O28" s="13">
        <f>N28*VLOOKUP('Données projet'!$B$9,Paramètres!$A$1:$I$89,3,0)*VLOOKUP('Données projet'!$B$9,Paramètres!$A$1:$I$89,5,0)</f>
        <v>74.090823529411765</v>
      </c>
      <c r="P28" s="13">
        <f t="shared" si="33"/>
        <v>20.685970842313679</v>
      </c>
      <c r="Q28" s="20">
        <f t="shared" si="2"/>
        <v>165.06958353075512</v>
      </c>
      <c r="R28" s="59">
        <f t="shared" si="0"/>
        <v>452.29180575297733</v>
      </c>
      <c r="S28" s="59">
        <f ca="1">AVERAGE(OFFSET($R$3,0,0,'Données projet'!$E$9+1,1))-AVERAGE(OFFSET($H$3,0,0,'Données projet'!$E$9+1,1))</f>
        <v>289.01603252482897</v>
      </c>
      <c r="T28" s="59">
        <f t="shared" si="34"/>
        <v>233.84231920589906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87.927171428571441</v>
      </c>
      <c r="AK28" s="13">
        <f t="shared" si="35"/>
        <v>24.06463273936156</v>
      </c>
      <c r="AL28" s="20">
        <f t="shared" si="4"/>
        <v>195.05239225914997</v>
      </c>
      <c r="AM28" s="59">
        <f t="shared" si="5"/>
        <v>482.27461448137217</v>
      </c>
      <c r="AN28" s="59">
        <f ca="1">AVERAGE(OFFSET($AM$3,0,0,'Données projet'!$E$10+1,1))-AVERAGE(OFFSET($H$3,0,0,'Données projet'!$E$10+1,1))</f>
        <v>581.88778927327667</v>
      </c>
      <c r="AO28" s="59">
        <f t="shared" si="36"/>
        <v>269.67340993773422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98.539071428571447</v>
      </c>
      <c r="BF28" s="13">
        <f t="shared" si="37"/>
        <v>26.613653910702727</v>
      </c>
      <c r="BG28" s="20">
        <f t="shared" si="7"/>
        <v>217.97432996590248</v>
      </c>
      <c r="BH28" s="59">
        <f t="shared" si="8"/>
        <v>505.19655218812471</v>
      </c>
      <c r="BI28" s="59">
        <f ca="1">AVERAGE(OFFSET($BH$3,0,0,'Données projet'!$E$11+1,1))-AVERAGE(OFFSET($H$3,0,0,'Données projet'!$E$11+1,1))</f>
        <v>646.50767193970182</v>
      </c>
      <c r="BJ28" s="59">
        <f t="shared" si="38"/>
        <v>297.06786598620607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65.187385714285725</v>
      </c>
      <c r="CA28" s="13">
        <f t="shared" si="39"/>
        <v>18.473406650180198</v>
      </c>
      <c r="CB28" s="20">
        <f t="shared" si="10"/>
        <v>145.70921336811145</v>
      </c>
      <c r="CC28" s="59">
        <f t="shared" si="11"/>
        <v>432.93143559033365</v>
      </c>
      <c r="CD28" s="59">
        <f ca="1">AVERAGE(OFFSET($CC$3,0,0,'Données projet'!$E$12+1,1))-AVERAGE(OFFSET($H$3,0,0,'Données projet'!$E$12+1,1))</f>
        <v>442.85175349826028</v>
      </c>
      <c r="CE28" s="59">
        <f t="shared" si="40"/>
        <v>210.70697808232501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6.3325490196078427</v>
      </c>
      <c r="N29" s="13">
        <f>IF('Données projet'!$A$36&gt;35,N28+M29-V28,IF(A29&lt;'Données projet'!$A$36,$K$205^A29,IF(A29='Données projet'!$A$36,'Données projet'!$B$36,N28+M29-V28)))</f>
        <v>164.64627450980393</v>
      </c>
      <c r="O29" s="13">
        <f>N29*VLOOKUP('Données projet'!$B$9,Paramètres!$A$1:$I$89,3,0)*VLOOKUP('Données projet'!$B$9,Paramètres!$A$1:$I$89,5,0)</f>
        <v>77.054456470588235</v>
      </c>
      <c r="P29" s="13">
        <f t="shared" si="33"/>
        <v>21.415418549393475</v>
      </c>
      <c r="Q29" s="20">
        <f t="shared" si="2"/>
        <v>171.50169899313482</v>
      </c>
      <c r="R29" s="59">
        <f t="shared" si="0"/>
        <v>459.94614343757928</v>
      </c>
      <c r="S29" s="59">
        <f ca="1">AVERAGE(OFFSET($R$3,0,0,'Données projet'!$E$9+1,1))-AVERAGE(OFFSET($H$3,0,0,'Données projet'!$E$9+1,1))</f>
        <v>289.01603252482897</v>
      </c>
      <c r="T29" s="59">
        <f t="shared" si="34"/>
        <v>233.84231920589906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91.444258285714298</v>
      </c>
      <c r="AK29" s="13">
        <f t="shared" si="35"/>
        <v>24.913221926074399</v>
      </c>
      <c r="AL29" s="20">
        <f t="shared" si="4"/>
        <v>202.65594470219867</v>
      </c>
      <c r="AM29" s="59">
        <f t="shared" si="5"/>
        <v>491.10038914664312</v>
      </c>
      <c r="AN29" s="59">
        <f ca="1">AVERAGE(OFFSET($AM$3,0,0,'Données projet'!$E$10+1,1))-AVERAGE(OFFSET($H$3,0,0,'Données projet'!$E$10+1,1))</f>
        <v>581.88778927327667</v>
      </c>
      <c r="AO29" s="59">
        <f t="shared" si="36"/>
        <v>269.67340993773422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102.48063428571432</v>
      </c>
      <c r="BF29" s="13">
        <f t="shared" si="37"/>
        <v>27.552129023626446</v>
      </c>
      <c r="BG29" s="20">
        <f t="shared" si="7"/>
        <v>226.47372943043516</v>
      </c>
      <c r="BH29" s="59">
        <f t="shared" si="8"/>
        <v>514.91817387487959</v>
      </c>
      <c r="BI29" s="59">
        <f ca="1">AVERAGE(OFFSET($BH$3,0,0,'Données projet'!$E$11+1,1))-AVERAGE(OFFSET($H$3,0,0,'Données projet'!$E$11+1,1))</f>
        <v>646.50767193970182</v>
      </c>
      <c r="BJ29" s="59">
        <f t="shared" si="38"/>
        <v>297.06786598620607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67.79488114285715</v>
      </c>
      <c r="CA29" s="13">
        <f t="shared" si="39"/>
        <v>19.124832886137288</v>
      </c>
      <c r="CB29" s="20">
        <f t="shared" si="10"/>
        <v>151.38516860049864</v>
      </c>
      <c r="CC29" s="59">
        <f t="shared" si="11"/>
        <v>439.82961304494313</v>
      </c>
      <c r="CD29" s="59">
        <f ca="1">AVERAGE(OFFSET($CC$3,0,0,'Données projet'!$E$12+1,1))-AVERAGE(OFFSET($H$3,0,0,'Données projet'!$E$12+1,1))</f>
        <v>442.85175349826028</v>
      </c>
      <c r="CE29" s="59">
        <f t="shared" si="40"/>
        <v>210.70697808232501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6.3325490196078427</v>
      </c>
      <c r="N30" s="13">
        <f>IF('Données projet'!$A$36&gt;35,N29+M30-V29,IF(A30&lt;'Données projet'!$A$36,$K$205^A30,IF(A30='Données projet'!$A$36,'Données projet'!$B$36,N29+M30-V29)))</f>
        <v>170.97882352941178</v>
      </c>
      <c r="O30" s="13">
        <f>N30*VLOOKUP('Données projet'!$B$9,Paramètres!$A$1:$I$89,3,0)*VLOOKUP('Données projet'!$B$9,Paramètres!$A$1:$I$89,5,0)</f>
        <v>80.01808941176472</v>
      </c>
      <c r="P30" s="13">
        <f t="shared" si="33"/>
        <v>22.141607025677867</v>
      </c>
      <c r="Q30" s="20">
        <f t="shared" si="2"/>
        <v>177.92813796187917</v>
      </c>
      <c r="R30" s="59">
        <f t="shared" si="0"/>
        <v>467.59480462854583</v>
      </c>
      <c r="S30" s="59">
        <f ca="1">AVERAGE(OFFSET($R$3,0,0,'Données projet'!$E$9+1,1))-AVERAGE(OFFSET($H$3,0,0,'Données projet'!$E$9+1,1))</f>
        <v>289.01603252482897</v>
      </c>
      <c r="T30" s="59">
        <f t="shared" si="34"/>
        <v>233.84231920589906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94.961345142857169</v>
      </c>
      <c r="AK30" s="13">
        <f t="shared" si="35"/>
        <v>25.758019548315733</v>
      </c>
      <c r="AL30" s="20">
        <f t="shared" si="4"/>
        <v>210.25289350379276</v>
      </c>
      <c r="AM30" s="59">
        <f t="shared" si="5"/>
        <v>499.91956017045948</v>
      </c>
      <c r="AN30" s="59">
        <f ca="1">AVERAGE(OFFSET($AM$3,0,0,'Données projet'!$E$10+1,1))-AVERAGE(OFFSET($H$3,0,0,'Données projet'!$E$10+1,1))</f>
        <v>581.88778927327667</v>
      </c>
      <c r="AO30" s="59">
        <f t="shared" si="36"/>
        <v>269.67340993773422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106.42219714285717</v>
      </c>
      <c r="BF30" s="13">
        <f t="shared" si="37"/>
        <v>28.486410954559084</v>
      </c>
      <c r="BG30" s="20">
        <f t="shared" si="7"/>
        <v>234.96582576966659</v>
      </c>
      <c r="BH30" s="59">
        <f t="shared" si="8"/>
        <v>524.63249243633322</v>
      </c>
      <c r="BI30" s="59">
        <f ca="1">AVERAGE(OFFSET($BH$3,0,0,'Données projet'!$E$11+1,1))-AVERAGE(OFFSET($H$3,0,0,'Données projet'!$E$11+1,1))</f>
        <v>646.50767193970182</v>
      </c>
      <c r="BJ30" s="59">
        <f t="shared" si="38"/>
        <v>297.06786598620607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70.40237657142859</v>
      </c>
      <c r="CA30" s="13">
        <f t="shared" si="39"/>
        <v>19.773348497482683</v>
      </c>
      <c r="CB30" s="20">
        <f t="shared" si="10"/>
        <v>157.05605449502048</v>
      </c>
      <c r="CC30" s="59">
        <f t="shared" si="11"/>
        <v>446.72272116168716</v>
      </c>
      <c r="CD30" s="59">
        <f ca="1">AVERAGE(OFFSET($CC$3,0,0,'Données projet'!$E$12+1,1))-AVERAGE(OFFSET($H$3,0,0,'Données projet'!$E$12+1,1))</f>
        <v>442.85175349826028</v>
      </c>
      <c r="CE30" s="59">
        <f t="shared" si="40"/>
        <v>210.70697808232501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6.3325490196078427</v>
      </c>
      <c r="N31" s="13">
        <f>IF('Données projet'!$A$36&gt;35,N30+M31-V30,IF(A31&lt;'Données projet'!$A$36,$K$205^A31,IF(A31='Données projet'!$A$36,'Données projet'!$B$36,N30+M31-V30)))</f>
        <v>177.31137254901964</v>
      </c>
      <c r="O31" s="13">
        <f>N31*VLOOKUP('Données projet'!$B$9,Paramètres!$A$1:$I$89,3,0)*VLOOKUP('Données projet'!$B$9,Paramètres!$A$1:$I$89,5,0)</f>
        <v>82.98172235294119</v>
      </c>
      <c r="P31" s="13">
        <f t="shared" si="33"/>
        <v>22.864670806840319</v>
      </c>
      <c r="Q31" s="20">
        <f t="shared" si="2"/>
        <v>184.34913475328611</v>
      </c>
      <c r="R31" s="59">
        <f t="shared" si="0"/>
        <v>475.23802364217499</v>
      </c>
      <c r="S31" s="59">
        <f ca="1">AVERAGE(OFFSET($R$3,0,0,'Données projet'!$E$9+1,1))-AVERAGE(OFFSET($H$3,0,0,'Données projet'!$E$9+1,1))</f>
        <v>289.01603252482897</v>
      </c>
      <c r="T31" s="59">
        <f t="shared" si="34"/>
        <v>233.84231920589906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98.478432000000026</v>
      </c>
      <c r="AK31" s="13">
        <f t="shared" si="35"/>
        <v>26.599182115615513</v>
      </c>
      <c r="AL31" s="20">
        <f t="shared" si="4"/>
        <v>217.84351125136371</v>
      </c>
      <c r="AM31" s="59">
        <f t="shared" si="5"/>
        <v>508.73240014025259</v>
      </c>
      <c r="AN31" s="59">
        <f ca="1">AVERAGE(OFFSET($AM$3,0,0,'Données projet'!$E$10+1,1))-AVERAGE(OFFSET($H$3,0,0,'Données projet'!$E$10+1,1))</f>
        <v>581.88778927327667</v>
      </c>
      <c r="AO31" s="59">
        <f t="shared" si="36"/>
        <v>269.67340993773422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110.36376000000004</v>
      </c>
      <c r="BF31" s="13">
        <f t="shared" si="37"/>
        <v>29.416672791139618</v>
      </c>
      <c r="BG31" s="20">
        <f t="shared" si="7"/>
        <v>243.45092044456825</v>
      </c>
      <c r="BH31" s="59">
        <f t="shared" si="8"/>
        <v>534.33980933345708</v>
      </c>
      <c r="BI31" s="59">
        <f ca="1">AVERAGE(OFFSET($BH$3,0,0,'Données projet'!$E$11+1,1))-AVERAGE(OFFSET($H$3,0,0,'Données projet'!$E$11+1,1))</f>
        <v>646.50767193970182</v>
      </c>
      <c r="BJ31" s="59">
        <f t="shared" si="38"/>
        <v>297.06786598620607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73.00987200000003</v>
      </c>
      <c r="CA31" s="13">
        <f t="shared" si="39"/>
        <v>20.419073630001385</v>
      </c>
      <c r="CB31" s="20">
        <f t="shared" si="10"/>
        <v>162.72208030558576</v>
      </c>
      <c r="CC31" s="59">
        <f t="shared" si="11"/>
        <v>453.61096919447459</v>
      </c>
      <c r="CD31" s="59">
        <f ca="1">AVERAGE(OFFSET($CC$3,0,0,'Données projet'!$E$12+1,1))-AVERAGE(OFFSET($H$3,0,0,'Données projet'!$E$12+1,1))</f>
        <v>442.85175349826028</v>
      </c>
      <c r="CE31" s="59">
        <f t="shared" si="40"/>
        <v>210.70697808232501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6.3325490196078427</v>
      </c>
      <c r="N32" s="13">
        <f>IF('Données projet'!$A$36&gt;35,N31+M32-V31,IF(A32&lt;'Données projet'!$A$36,$K$205^A32,IF(A32='Données projet'!$A$36,'Données projet'!$B$36,N31+M32-V31)))</f>
        <v>183.64392156862749</v>
      </c>
      <c r="O32" s="13">
        <f>N32*VLOOKUP('Données projet'!$B$9,Paramètres!$A$1:$I$89,3,0)*VLOOKUP('Données projet'!$B$9,Paramètres!$A$1:$I$89,5,0)</f>
        <v>85.945355294117661</v>
      </c>
      <c r="P32" s="13">
        <f t="shared" si="33"/>
        <v>23.584734274106435</v>
      </c>
      <c r="Q32" s="20">
        <f t="shared" si="2"/>
        <v>190.76490599799027</v>
      </c>
      <c r="R32" s="59">
        <f t="shared" si="0"/>
        <v>482.87601710910144</v>
      </c>
      <c r="S32" s="59">
        <f ca="1">AVERAGE(OFFSET($R$3,0,0,'Données projet'!$E$9+1,1))-AVERAGE(OFFSET($H$3,0,0,'Données projet'!$E$9+1,1))</f>
        <v>289.01603252482897</v>
      </c>
      <c r="T32" s="59">
        <f t="shared" si="34"/>
        <v>233.84231920589906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101.99551885714288</v>
      </c>
      <c r="AK32" s="13">
        <f t="shared" si="35"/>
        <v>27.436854324518826</v>
      </c>
      <c r="AL32" s="20">
        <f t="shared" si="4"/>
        <v>225.4280499580608</v>
      </c>
      <c r="AM32" s="59">
        <f t="shared" si="5"/>
        <v>517.539161069172</v>
      </c>
      <c r="AN32" s="59">
        <f ca="1">AVERAGE(OFFSET($AM$3,0,0,'Données projet'!$E$10+1,1))-AVERAGE(OFFSET($H$3,0,0,'Données projet'!$E$10+1,1))</f>
        <v>581.88778927327667</v>
      </c>
      <c r="AO32" s="59">
        <f t="shared" si="36"/>
        <v>269.67340993773422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114.3053228571429</v>
      </c>
      <c r="BF32" s="13">
        <f t="shared" si="37"/>
        <v>30.343074556744043</v>
      </c>
      <c r="BG32" s="20">
        <f t="shared" si="7"/>
        <v>251.92929216251972</v>
      </c>
      <c r="BH32" s="59">
        <f t="shared" si="8"/>
        <v>544.04040327363089</v>
      </c>
      <c r="BI32" s="59">
        <f ca="1">AVERAGE(OFFSET($BH$3,0,0,'Données projet'!$E$11+1,1))-AVERAGE(OFFSET($H$3,0,0,'Données projet'!$E$11+1,1))</f>
        <v>646.50767193970182</v>
      </c>
      <c r="BJ32" s="59">
        <f t="shared" si="38"/>
        <v>297.06786598620607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75.617367428571455</v>
      </c>
      <c r="CA32" s="13">
        <f t="shared" si="39"/>
        <v>21.062119361146681</v>
      </c>
      <c r="CB32" s="20">
        <f t="shared" si="10"/>
        <v>168.38343949209244</v>
      </c>
      <c r="CC32" s="59">
        <f t="shared" si="11"/>
        <v>460.49455060320361</v>
      </c>
      <c r="CD32" s="59">
        <f ca="1">AVERAGE(OFFSET($CC$3,0,0,'Données projet'!$E$12+1,1))-AVERAGE(OFFSET($H$3,0,0,'Données projet'!$E$12+1,1))</f>
        <v>442.85175349826028</v>
      </c>
      <c r="CE32" s="59">
        <f t="shared" si="40"/>
        <v>210.70697808232501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6.3325490196078427</v>
      </c>
      <c r="N33" s="13">
        <f>IF('Données projet'!$A$36&gt;35,N32+M33-V32,IF(A33&lt;'Données projet'!$A$36,$K$205^A33,IF(A33='Données projet'!$A$36,'Données projet'!$B$36,N32+M33-V32)))</f>
        <v>189.97647058823534</v>
      </c>
      <c r="O33" s="13">
        <f>N33*VLOOKUP('Données projet'!$B$9,Paramètres!$A$1:$I$89,3,0)*VLOOKUP('Données projet'!$B$9,Paramètres!$A$1:$I$89,5,0)</f>
        <v>88.908988235294146</v>
      </c>
      <c r="P33" s="13">
        <f t="shared" si="33"/>
        <v>24.301912744169435</v>
      </c>
      <c r="Q33" s="20">
        <f t="shared" si="2"/>
        <v>197.1756525392324</v>
      </c>
      <c r="R33" s="59">
        <f t="shared" si="0"/>
        <v>490.50898587256575</v>
      </c>
      <c r="S33" s="59">
        <f ca="1">AVERAGE(OFFSET($R$3,0,0,'Données projet'!$E$9+1,1))-AVERAGE(OFFSET($H$3,0,0,'Données projet'!$E$9+1,1))</f>
        <v>289.01603252482897</v>
      </c>
      <c r="T33" s="59">
        <f t="shared" si="34"/>
        <v>233.84231920589906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105.51260571428575</v>
      </c>
      <c r="AK33" s="13">
        <f t="shared" si="35"/>
        <v>28.271170326518615</v>
      </c>
      <c r="AL33" s="20">
        <f t="shared" si="4"/>
        <v>233.00674327106756</v>
      </c>
      <c r="AM33" s="59">
        <f t="shared" si="5"/>
        <v>526.34007660440091</v>
      </c>
      <c r="AN33" s="59">
        <f ca="1">AVERAGE(OFFSET($AM$3,0,0,'Données projet'!$E$10+1,1))-AVERAGE(OFFSET($H$3,0,0,'Données projet'!$E$10+1,1))</f>
        <v>581.88778927327667</v>
      </c>
      <c r="AO33" s="59">
        <f t="shared" si="36"/>
        <v>269.67340993773422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118.24688571428577</v>
      </c>
      <c r="BF33" s="13">
        <f t="shared" si="37"/>
        <v>31.265764612722538</v>
      </c>
      <c r="BG33" s="20">
        <f t="shared" si="7"/>
        <v>260.40119931953944</v>
      </c>
      <c r="BH33" s="59">
        <f t="shared" si="8"/>
        <v>553.73453265287276</v>
      </c>
      <c r="BI33" s="59">
        <f ca="1">AVERAGE(OFFSET($BH$3,0,0,'Données projet'!$E$11+1,1))-AVERAGE(OFFSET($H$3,0,0,'Données projet'!$E$11+1,1))</f>
        <v>646.50767193970182</v>
      </c>
      <c r="BJ33" s="59">
        <f t="shared" si="38"/>
        <v>297.06786598620607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78.224862857142881</v>
      </c>
      <c r="CA33" s="13">
        <f t="shared" si="39"/>
        <v>21.702588673378685</v>
      </c>
      <c r="CB33" s="20">
        <f t="shared" si="10"/>
        <v>174.04031141565838</v>
      </c>
      <c r="CC33" s="59">
        <f t="shared" si="11"/>
        <v>467.37364474899169</v>
      </c>
      <c r="CD33" s="59">
        <f ca="1">AVERAGE(OFFSET($CC$3,0,0,'Données projet'!$E$12+1,1))-AVERAGE(OFFSET($H$3,0,0,'Données projet'!$E$12+1,1))</f>
        <v>442.85175349826028</v>
      </c>
      <c r="CE33" s="59">
        <f t="shared" si="40"/>
        <v>210.70697808232501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6.3325490196078427</v>
      </c>
      <c r="N34" s="13">
        <f>IF('Données projet'!$A$36&gt;35,N33+M34-V33,IF(A34&lt;'Données projet'!$A$36,$K$205^A34,IF(A34='Données projet'!$A$36,'Données projet'!$B$36,N33+M34-V33)))</f>
        <v>196.3090196078432</v>
      </c>
      <c r="O34" s="13">
        <f>N34*VLOOKUP('Données projet'!$B$9,Paramètres!$A$1:$I$89,3,0)*VLOOKUP('Données projet'!$B$9,Paramètres!$A$1:$I$89,5,0)</f>
        <v>91.872621176470616</v>
      </c>
      <c r="P34" s="13">
        <f t="shared" si="33"/>
        <v>25.016313409701443</v>
      </c>
      <c r="Q34" s="20">
        <f t="shared" si="2"/>
        <v>203.58156107091631</v>
      </c>
      <c r="R34" s="59">
        <f t="shared" si="0"/>
        <v>496.91489440424959</v>
      </c>
      <c r="S34" s="59">
        <f ca="1">AVERAGE(OFFSET($R$3,0,0,'Données projet'!$E$9+1,1))-AVERAGE(OFFSET($H$3,0,0,'Données projet'!$E$9+1,1))</f>
        <v>289.01603252482897</v>
      </c>
      <c r="T34" s="59">
        <f t="shared" si="34"/>
        <v>233.84231920589906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109.02969257142863</v>
      </c>
      <c r="AK34" s="13">
        <f t="shared" si="35"/>
        <v>29.102254822181546</v>
      </c>
      <c r="AL34" s="20">
        <f t="shared" si="4"/>
        <v>240.57980837720436</v>
      </c>
      <c r="AM34" s="59">
        <f t="shared" si="5"/>
        <v>533.91314171053773</v>
      </c>
      <c r="AN34" s="59">
        <f ca="1">AVERAGE(OFFSET($AM$3,0,0,'Données projet'!$E$10+1,1))-AVERAGE(OFFSET($H$3,0,0,'Données projet'!$E$10+1,1))</f>
        <v>581.88778927327667</v>
      </c>
      <c r="AO34" s="59">
        <f t="shared" si="36"/>
        <v>269.67340993773422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122.18844857142862</v>
      </c>
      <c r="BF34" s="13">
        <f t="shared" si="37"/>
        <v>32.184880868419519</v>
      </c>
      <c r="BG34" s="20">
        <f t="shared" si="7"/>
        <v>268.86688210773553</v>
      </c>
      <c r="BH34" s="59">
        <f t="shared" si="8"/>
        <v>562.20021544106885</v>
      </c>
      <c r="BI34" s="59">
        <f ca="1">AVERAGE(OFFSET($BH$3,0,0,'Données projet'!$E$11+1,1))-AVERAGE(OFFSET($H$3,0,0,'Données projet'!$E$11+1,1))</f>
        <v>646.50767193970182</v>
      </c>
      <c r="BJ34" s="59">
        <f t="shared" si="38"/>
        <v>297.06786598620607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80.832358285714321</v>
      </c>
      <c r="CA34" s="13">
        <f t="shared" si="39"/>
        <v>22.34057729407888</v>
      </c>
      <c r="CB34" s="20">
        <f t="shared" si="10"/>
        <v>179.69286280147318</v>
      </c>
      <c r="CC34" s="59">
        <f t="shared" si="11"/>
        <v>473.02619613480647</v>
      </c>
      <c r="CD34" s="59">
        <f ca="1">AVERAGE(OFFSET($CC$3,0,0,'Données projet'!$E$12+1,1))-AVERAGE(OFFSET($H$3,0,0,'Données projet'!$E$12+1,1))</f>
        <v>442.85175349826028</v>
      </c>
      <c r="CE34" s="59">
        <f t="shared" si="40"/>
        <v>210.70697808232501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6.3325490196078427</v>
      </c>
      <c r="N35" s="13">
        <f>IF('Données projet'!$A$36&gt;35,N34+M35-V34,IF(A35&lt;'Données projet'!$A$36,$K$205^A35,IF(A35='Données projet'!$A$36,'Données projet'!$B$36,N34+M35-V34)))</f>
        <v>202.64156862745105</v>
      </c>
      <c r="O35" s="13">
        <f>N35*VLOOKUP('Données projet'!$B$9,Paramètres!$A$1:$I$89,3,0)*VLOOKUP('Données projet'!$B$9,Paramètres!$A$1:$I$89,5,0)</f>
        <v>94.836254117647087</v>
      </c>
      <c r="P35" s="13">
        <f t="shared" si="33"/>
        <v>25.728036155099314</v>
      </c>
      <c r="Q35" s="20">
        <f t="shared" ref="Q35:Q66" si="53">(O35+P35)*0.475*44/12</f>
        <v>209.98280555836664</v>
      </c>
      <c r="R35" s="59">
        <f t="shared" si="0"/>
        <v>503.31613889169995</v>
      </c>
      <c r="S35" s="59">
        <f ca="1">AVERAGE(OFFSET($R$3,0,0,'Données projet'!$E$9+1,1))-AVERAGE(OFFSET($H$3,0,0,'Données projet'!$E$9+1,1))</f>
        <v>289.01603252482897</v>
      </c>
      <c r="T35" s="59">
        <f t="shared" si="34"/>
        <v>233.84231920589906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112.54677942857147</v>
      </c>
      <c r="AK35" s="13">
        <f t="shared" si="35"/>
        <v>29.930224010130704</v>
      </c>
      <c r="AL35" s="20">
        <f t="shared" si="4"/>
        <v>248.14744765573963</v>
      </c>
      <c r="AM35" s="59">
        <f t="shared" si="5"/>
        <v>541.48078098907297</v>
      </c>
      <c r="AN35" s="59">
        <f ca="1">AVERAGE(OFFSET($AM$3,0,0,'Données projet'!$E$10+1,1))-AVERAGE(OFFSET($H$3,0,0,'Données projet'!$E$10+1,1))</f>
        <v>581.88778927327667</v>
      </c>
      <c r="AO35" s="59">
        <f t="shared" si="36"/>
        <v>269.67340993773422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126.13001142857149</v>
      </c>
      <c r="BF35" s="13">
        <f t="shared" si="37"/>
        <v>33.100551830676153</v>
      </c>
      <c r="BG35" s="20">
        <f t="shared" si="7"/>
        <v>277.32656434318966</v>
      </c>
      <c r="BH35" s="59">
        <f t="shared" si="8"/>
        <v>570.65989767652297</v>
      </c>
      <c r="BI35" s="59">
        <f ca="1">AVERAGE(OFFSET($BH$3,0,0,'Données projet'!$E$11+1,1))-AVERAGE(OFFSET($H$3,0,0,'Données projet'!$E$11+1,1))</f>
        <v>646.50767193970182</v>
      </c>
      <c r="BJ35" s="59">
        <f t="shared" si="38"/>
        <v>297.06786598620607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83.439853714285746</v>
      </c>
      <c r="CA35" s="13">
        <f t="shared" si="39"/>
        <v>22.976174424044025</v>
      </c>
      <c r="CB35" s="20">
        <f t="shared" si="10"/>
        <v>185.34124900759105</v>
      </c>
      <c r="CC35" s="59">
        <f t="shared" si="11"/>
        <v>478.67458234092436</v>
      </c>
      <c r="CD35" s="59">
        <f ca="1">AVERAGE(OFFSET($CC$3,0,0,'Données projet'!$E$12+1,1))-AVERAGE(OFFSET($H$3,0,0,'Données projet'!$E$12+1,1))</f>
        <v>442.85175349826028</v>
      </c>
      <c r="CE35" s="59">
        <f t="shared" si="40"/>
        <v>210.70697808232501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6.3325490196078427</v>
      </c>
      <c r="N36" s="13">
        <f>IF('Données projet'!$A$36&gt;35,N35+M36-V35,IF(A36&lt;'Données projet'!$A$36,$K$205^A36,IF(A36='Données projet'!$A$36,'Données projet'!$B$36,N35+M36-V35)))</f>
        <v>208.9741176470589</v>
      </c>
      <c r="O36" s="13">
        <f>N36*VLOOKUP('Données projet'!$B$9,Paramètres!$A$1:$I$89,3,0)*VLOOKUP('Données projet'!$B$9,Paramètres!$A$1:$I$89,5,0)</f>
        <v>97.799887058823572</v>
      </c>
      <c r="P36" s="13">
        <f t="shared" si="33"/>
        <v>26.437174267397893</v>
      </c>
      <c r="Q36" s="20">
        <f t="shared" si="53"/>
        <v>216.37954847650238</v>
      </c>
      <c r="R36" s="59">
        <f t="shared" si="0"/>
        <v>509.71288180983572</v>
      </c>
      <c r="S36" s="59">
        <f ca="1">AVERAGE(OFFSET($R$3,0,0,'Données projet'!$E$9+1,1))-AVERAGE(OFFSET($H$3,0,0,'Données projet'!$E$9+1,1))</f>
        <v>289.01603252482897</v>
      </c>
      <c r="T36" s="59">
        <f t="shared" si="34"/>
        <v>233.84231920589906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116.06386628571434</v>
      </c>
      <c r="AK36" s="13">
        <f t="shared" si="35"/>
        <v>30.755186414072718</v>
      </c>
      <c r="AL36" s="20">
        <f t="shared" si="4"/>
        <v>255.70985011879577</v>
      </c>
      <c r="AM36" s="59">
        <f t="shared" si="5"/>
        <v>549.04318345212914</v>
      </c>
      <c r="AN36" s="59">
        <f ca="1">AVERAGE(OFFSET($AM$3,0,0,'Données projet'!$E$10+1,1))-AVERAGE(OFFSET($H$3,0,0,'Données projet'!$E$10+1,1))</f>
        <v>581.88778927327667</v>
      </c>
      <c r="AO36" s="59">
        <f t="shared" si="36"/>
        <v>269.67340993773422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130.07157428571435</v>
      </c>
      <c r="BF36" s="13">
        <f t="shared" si="37"/>
        <v>34.012897518459816</v>
      </c>
      <c r="BG36" s="20">
        <f t="shared" si="7"/>
        <v>285.78045505893664</v>
      </c>
      <c r="BH36" s="59">
        <f t="shared" si="8"/>
        <v>579.11378839226995</v>
      </c>
      <c r="BI36" s="59">
        <f ca="1">AVERAGE(OFFSET($BH$3,0,0,'Données projet'!$E$11+1,1))-AVERAGE(OFFSET($H$3,0,0,'Données projet'!$E$11+1,1))</f>
        <v>646.50767193970182</v>
      </c>
      <c r="BJ36" s="59">
        <f t="shared" si="38"/>
        <v>297.06786598620607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86.047349142857186</v>
      </c>
      <c r="CA36" s="13">
        <f t="shared" si="39"/>
        <v>23.609463372360441</v>
      </c>
      <c r="CB36" s="20">
        <f t="shared" si="10"/>
        <v>190.98561513067068</v>
      </c>
      <c r="CC36" s="59">
        <f t="shared" si="11"/>
        <v>484.318948464004</v>
      </c>
      <c r="CD36" s="59">
        <f ca="1">AVERAGE(OFFSET($CC$3,0,0,'Données projet'!$E$12+1,1))-AVERAGE(OFFSET($H$3,0,0,'Données projet'!$E$12+1,1))</f>
        <v>442.85175349826028</v>
      </c>
      <c r="CE36" s="59">
        <f t="shared" si="40"/>
        <v>210.70697808232501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6.3325490196078427</v>
      </c>
      <c r="N37" s="13">
        <f>IF('Données projet'!$A$36&gt;35,N36+M37-V36,IF(A37&lt;'Données projet'!$A$36,$K$205^A37,IF(A37='Données projet'!$A$36,'Données projet'!$B$36,N36+M37-V36)))</f>
        <v>215.30666666666676</v>
      </c>
      <c r="O37" s="13">
        <f>N37*VLOOKUP('Données projet'!$B$9,Paramètres!$A$1:$I$89,3,0)*VLOOKUP('Données projet'!$B$9,Paramètres!$A$1:$I$89,5,0)</f>
        <v>100.76352000000004</v>
      </c>
      <c r="P37" s="13">
        <f t="shared" si="33"/>
        <v>27.143815058590718</v>
      </c>
      <c r="Q37" s="20">
        <f t="shared" si="53"/>
        <v>222.77194189371221</v>
      </c>
      <c r="R37" s="59">
        <f t="shared" si="0"/>
        <v>516.10527522704547</v>
      </c>
      <c r="S37" s="59">
        <f ca="1">AVERAGE(OFFSET($R$3,0,0,'Données projet'!$E$9+1,1))-AVERAGE(OFFSET($H$3,0,0,'Données projet'!$E$9+1,1))</f>
        <v>289.01603252482897</v>
      </c>
      <c r="T37" s="59">
        <f t="shared" si="34"/>
        <v>233.84231920589906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119.58095314285718</v>
      </c>
      <c r="AK37" s="13">
        <f t="shared" si="35"/>
        <v>31.577243606763055</v>
      </c>
      <c r="AL37" s="20">
        <f t="shared" si="4"/>
        <v>263.26719267225525</v>
      </c>
      <c r="AM37" s="59">
        <f t="shared" si="5"/>
        <v>556.60052600558856</v>
      </c>
      <c r="AN37" s="59">
        <f ca="1">AVERAGE(OFFSET($AM$3,0,0,'Données projet'!$E$10+1,1))-AVERAGE(OFFSET($H$3,0,0,'Données projet'!$E$10+1,1))</f>
        <v>581.88778927327667</v>
      </c>
      <c r="AO37" s="59">
        <f t="shared" si="36"/>
        <v>269.67340993773422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134.0131371428572</v>
      </c>
      <c r="BF37" s="13">
        <f t="shared" si="37"/>
        <v>34.92203026351433</v>
      </c>
      <c r="BG37" s="20">
        <f t="shared" si="7"/>
        <v>294.2287498994304</v>
      </c>
      <c r="BH37" s="59">
        <f t="shared" si="8"/>
        <v>587.56208323276371</v>
      </c>
      <c r="BI37" s="59">
        <f ca="1">AVERAGE(OFFSET($BH$3,0,0,'Données projet'!$E$11+1,1))-AVERAGE(OFFSET($H$3,0,0,'Données projet'!$E$11+1,1))</f>
        <v>646.50767193970182</v>
      </c>
      <c r="BJ37" s="59">
        <f t="shared" si="38"/>
        <v>297.06786598620607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88.654844571428612</v>
      </c>
      <c r="CA37" s="13">
        <f t="shared" si="39"/>
        <v>24.240522112161401</v>
      </c>
      <c r="CB37" s="20">
        <f t="shared" si="10"/>
        <v>196.62609697391926</v>
      </c>
      <c r="CC37" s="59">
        <f t="shared" si="11"/>
        <v>489.95943030725255</v>
      </c>
      <c r="CD37" s="59">
        <f ca="1">AVERAGE(OFFSET($CC$3,0,0,'Données projet'!$E$12+1,1))-AVERAGE(OFFSET($H$3,0,0,'Données projet'!$E$12+1,1))</f>
        <v>442.85175349826028</v>
      </c>
      <c r="CE37" s="59">
        <f t="shared" si="40"/>
        <v>210.70697808232501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6.3325490196078427</v>
      </c>
      <c r="N38" s="13">
        <f>IF('Données projet'!$A$36&gt;35,N37+M38-V37,IF(A38&lt;'Données projet'!$A$36,$K$205^A38,IF(A38='Données projet'!$A$36,'Données projet'!$B$36,N37+M38-V37)))</f>
        <v>221.63921568627461</v>
      </c>
      <c r="O38" s="13">
        <f>N38*VLOOKUP('Données projet'!$B$9,Paramètres!$A$1:$I$89,3,0)*VLOOKUP('Données projet'!$B$9,Paramètres!$A$1:$I$89,5,0)</f>
        <v>103.72715294117653</v>
      </c>
      <c r="P38" s="13">
        <f t="shared" si="33"/>
        <v>27.848040412679186</v>
      </c>
      <c r="Q38" s="20">
        <f t="shared" si="53"/>
        <v>229.16012842463203</v>
      </c>
      <c r="R38" s="59">
        <f t="shared" si="0"/>
        <v>522.49346175796541</v>
      </c>
      <c r="S38" s="59">
        <f ca="1">AVERAGE(OFFSET($R$3,0,0,'Données projet'!$E$9+1,1))-AVERAGE(OFFSET($H$3,0,0,'Données projet'!$E$9+1,1))</f>
        <v>289.01603252482897</v>
      </c>
      <c r="T38" s="59">
        <f t="shared" si="34"/>
        <v>233.84231920589906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123.09804000000005</v>
      </c>
      <c r="AK38" s="13">
        <f t="shared" si="35"/>
        <v>32.396490846405321</v>
      </c>
      <c r="AL38" s="20">
        <f t="shared" si="4"/>
        <v>270.81964122415599</v>
      </c>
      <c r="AM38" s="59">
        <f t="shared" si="5"/>
        <v>564.1529745574893</v>
      </c>
      <c r="AN38" s="59">
        <f ca="1">AVERAGE(OFFSET($AM$3,0,0,'Données projet'!$E$10+1,1))-AVERAGE(OFFSET($H$3,0,0,'Données projet'!$E$10+1,1))</f>
        <v>581.88778927327667</v>
      </c>
      <c r="AO38" s="59">
        <f t="shared" si="36"/>
        <v>269.67340993773422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137.95470000000009</v>
      </c>
      <c r="BF38" s="13">
        <f t="shared" si="37"/>
        <v>35.828055414169384</v>
      </c>
      <c r="BG38" s="20">
        <f t="shared" si="7"/>
        <v>302.67163234634512</v>
      </c>
      <c r="BH38" s="59">
        <f t="shared" si="8"/>
        <v>596.00496567967843</v>
      </c>
      <c r="BI38" s="59">
        <f ca="1">AVERAGE(OFFSET($BH$3,0,0,'Données projet'!$E$11+1,1))-AVERAGE(OFFSET($H$3,0,0,'Données projet'!$E$11+1,1))</f>
        <v>646.50767193970182</v>
      </c>
      <c r="BJ38" s="59">
        <f t="shared" si="38"/>
        <v>297.06786598620607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91.262340000000052</v>
      </c>
      <c r="CA38" s="13">
        <f t="shared" si="39"/>
        <v>24.869423769164257</v>
      </c>
      <c r="CB38" s="20">
        <f t="shared" si="10"/>
        <v>202.26282189796117</v>
      </c>
      <c r="CC38" s="59">
        <f t="shared" si="11"/>
        <v>495.59615523129446</v>
      </c>
      <c r="CD38" s="59">
        <f ca="1">AVERAGE(OFFSET($CC$3,0,0,'Données projet'!$E$12+1,1))-AVERAGE(OFFSET($H$3,0,0,'Données projet'!$E$12+1,1))</f>
        <v>442.85175349826028</v>
      </c>
      <c r="CE38" s="59">
        <f t="shared" si="40"/>
        <v>210.70697808232501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6.3325490196078427</v>
      </c>
      <c r="N39" s="13">
        <f>IF('Données projet'!$A$36&gt;35,N38+M39-V38,IF(A39&lt;'Données projet'!$A$36,$K$205^A39,IF(A39='Données projet'!$A$36,'Données projet'!$B$36,N38+M39-V38)))</f>
        <v>227.97176470588246</v>
      </c>
      <c r="O39" s="13">
        <f>N39*VLOOKUP('Données projet'!$B$9,Paramètres!$A$1:$I$89,3,0)*VLOOKUP('Données projet'!$B$9,Paramètres!$A$1:$I$89,5,0)</f>
        <v>106.69078588235298</v>
      </c>
      <c r="P39" s="13">
        <f t="shared" si="33"/>
        <v>28.549927268444787</v>
      </c>
      <c r="Q39" s="20">
        <f t="shared" si="53"/>
        <v>235.54424207097281</v>
      </c>
      <c r="R39" s="59">
        <f t="shared" si="0"/>
        <v>528.87757540430607</v>
      </c>
      <c r="S39" s="59">
        <f ca="1">AVERAGE(OFFSET($R$3,0,0,'Données projet'!$E$9+1,1))-AVERAGE(OFFSET($H$3,0,0,'Données projet'!$E$9+1,1))</f>
        <v>289.01603252482897</v>
      </c>
      <c r="T39" s="59">
        <f t="shared" si="34"/>
        <v>233.84231920589906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126.61512685714293</v>
      </c>
      <c r="AK39" s="13">
        <f t="shared" si="35"/>
        <v>33.213017638275041</v>
      </c>
      <c r="AL39" s="20">
        <f t="shared" si="4"/>
        <v>278.36735166285297</v>
      </c>
      <c r="AM39" s="59">
        <f t="shared" si="5"/>
        <v>571.70068499618628</v>
      </c>
      <c r="AN39" s="59">
        <f ca="1">AVERAGE(OFFSET($AM$3,0,0,'Données projet'!$E$10+1,1))-AVERAGE(OFFSET($H$3,0,0,'Données projet'!$E$10+1,1))</f>
        <v>581.88778927327667</v>
      </c>
      <c r="AO39" s="59">
        <f t="shared" si="36"/>
        <v>269.67340993773422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141.89626285714294</v>
      </c>
      <c r="BF39" s="13">
        <f t="shared" si="37"/>
        <v>36.73107195645354</v>
      </c>
      <c r="BG39" s="20">
        <f t="shared" si="7"/>
        <v>311.10927480034724</v>
      </c>
      <c r="BH39" s="59">
        <f t="shared" si="8"/>
        <v>604.44260813368055</v>
      </c>
      <c r="BI39" s="59">
        <f ca="1">AVERAGE(OFFSET($BH$3,0,0,'Données projet'!$E$11+1,1))-AVERAGE(OFFSET($H$3,0,0,'Données projet'!$E$11+1,1))</f>
        <v>646.50767193970182</v>
      </c>
      <c r="BJ39" s="59">
        <f t="shared" si="38"/>
        <v>297.06786598620607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93.869835428571477</v>
      </c>
      <c r="CA39" s="13">
        <f t="shared" si="39"/>
        <v>25.49623705280532</v>
      </c>
      <c r="CB39" s="20">
        <f t="shared" si="10"/>
        <v>207.89590957173127</v>
      </c>
      <c r="CC39" s="59">
        <f t="shared" si="11"/>
        <v>501.22924290506455</v>
      </c>
      <c r="CD39" s="59">
        <f ca="1">AVERAGE(OFFSET($CC$3,0,0,'Données projet'!$E$12+1,1))-AVERAGE(OFFSET($H$3,0,0,'Données projet'!$E$12+1,1))</f>
        <v>442.85175349826028</v>
      </c>
      <c r="CE39" s="59">
        <f t="shared" si="40"/>
        <v>210.70697808232501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6.3325490196078427</v>
      </c>
      <c r="N40" s="13">
        <f>IF('Données projet'!$A$36&gt;35,N39+M40-V39,IF(A40&lt;'Données projet'!$A$36,$K$205^A40,IF(A40='Données projet'!$A$36,'Données projet'!$B$36,N39+M40-V39)))</f>
        <v>234.30431372549032</v>
      </c>
      <c r="O40" s="13">
        <f>N40*VLOOKUP('Données projet'!$B$9,Paramètres!$A$1:$I$89,3,0)*VLOOKUP('Données projet'!$B$9,Paramètres!$A$1:$I$89,5,0)</f>
        <v>109.65441882352947</v>
      </c>
      <c r="P40" s="13">
        <f t="shared" si="33"/>
        <v>29.249548047071574</v>
      </c>
      <c r="Q40" s="20">
        <f t="shared" si="53"/>
        <v>241.92440896629682</v>
      </c>
      <c r="R40" s="59">
        <f t="shared" si="0"/>
        <v>535.25774229963008</v>
      </c>
      <c r="S40" s="59">
        <f ca="1">AVERAGE(OFFSET($R$3,0,0,'Données projet'!$E$9+1,1))-AVERAGE(OFFSET($H$3,0,0,'Données projet'!$E$9+1,1))</f>
        <v>289.01603252482897</v>
      </c>
      <c r="T40" s="59">
        <f t="shared" si="34"/>
        <v>233.84231920589906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130.13221371428577</v>
      </c>
      <c r="AK40" s="13">
        <f t="shared" si="35"/>
        <v>34.026908232186209</v>
      </c>
      <c r="AL40" s="20">
        <f t="shared" si="4"/>
        <v>285.91047072343866</v>
      </c>
      <c r="AM40" s="59">
        <f t="shared" si="5"/>
        <v>579.24380405677198</v>
      </c>
      <c r="AN40" s="59">
        <f ca="1">AVERAGE(OFFSET($AM$3,0,0,'Données projet'!$E$10+1,1))-AVERAGE(OFFSET($H$3,0,0,'Données projet'!$E$10+1,1))</f>
        <v>581.88778927327667</v>
      </c>
      <c r="AO40" s="59">
        <f t="shared" si="36"/>
        <v>269.67340993773422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145.8378257142858</v>
      </c>
      <c r="BF40" s="13">
        <f t="shared" si="37"/>
        <v>37.631173064254732</v>
      </c>
      <c r="BG40" s="20">
        <f t="shared" si="7"/>
        <v>319.5418395392914</v>
      </c>
      <c r="BH40" s="59">
        <f t="shared" si="8"/>
        <v>612.87517287262472</v>
      </c>
      <c r="BI40" s="59">
        <f ca="1">AVERAGE(OFFSET($BH$3,0,0,'Données projet'!$E$11+1,1))-AVERAGE(OFFSET($H$3,0,0,'Données projet'!$E$11+1,1))</f>
        <v>646.50767193970182</v>
      </c>
      <c r="BJ40" s="59">
        <f t="shared" si="38"/>
        <v>297.06786598620607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96.477330857142903</v>
      </c>
      <c r="CA40" s="13">
        <f t="shared" si="39"/>
        <v>26.121026638124231</v>
      </c>
      <c r="CB40" s="20">
        <f t="shared" si="10"/>
        <v>213.52547263759024</v>
      </c>
      <c r="CC40" s="59">
        <f t="shared" si="11"/>
        <v>506.85880597092353</v>
      </c>
      <c r="CD40" s="59">
        <f ca="1">AVERAGE(OFFSET($CC$3,0,0,'Données projet'!$E$12+1,1))-AVERAGE(OFFSET($H$3,0,0,'Données projet'!$E$12+1,1))</f>
        <v>442.85175349826028</v>
      </c>
      <c r="CE40" s="59">
        <f t="shared" si="40"/>
        <v>210.70697808232501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6.3325490196078427</v>
      </c>
      <c r="N41" s="13">
        <f>IF('Données projet'!$A$36&gt;35,N40+M41-V40,IF(A41&lt;'Données projet'!$A$36,$K$205^A41,IF(A41='Données projet'!$A$36,'Données projet'!$B$36,N40+M41-V40)))</f>
        <v>240.63686274509817</v>
      </c>
      <c r="O41" s="13">
        <f>N41*VLOOKUP('Données projet'!$B$9,Paramètres!$A$1:$I$89,3,0)*VLOOKUP('Données projet'!$B$9,Paramètres!$A$1:$I$89,5,0)</f>
        <v>112.61805176470595</v>
      </c>
      <c r="P41" s="13">
        <f t="shared" si="33"/>
        <v>29.946971032239418</v>
      </c>
      <c r="Q41" s="20">
        <f t="shared" si="53"/>
        <v>248.30074803801315</v>
      </c>
      <c r="R41" s="59">
        <f t="shared" si="0"/>
        <v>541.6340813713465</v>
      </c>
      <c r="S41" s="59">
        <f ca="1">AVERAGE(OFFSET($R$3,0,0,'Données projet'!$E$9+1,1))-AVERAGE(OFFSET($H$3,0,0,'Données projet'!$E$9+1,1))</f>
        <v>289.01603252482897</v>
      </c>
      <c r="T41" s="59">
        <f t="shared" si="34"/>
        <v>233.84231920589906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133.64930057142865</v>
      </c>
      <c r="AK41" s="13">
        <f t="shared" si="35"/>
        <v>34.8382420646657</v>
      </c>
      <c r="AL41" s="20">
        <f t="shared" si="4"/>
        <v>293.44913675786432</v>
      </c>
      <c r="AM41" s="59">
        <f t="shared" si="5"/>
        <v>586.78247009119764</v>
      </c>
      <c r="AN41" s="59">
        <f ca="1">AVERAGE(OFFSET($AM$3,0,0,'Données projet'!$E$10+1,1))-AVERAGE(OFFSET($H$3,0,0,'Données projet'!$E$10+1,1))</f>
        <v>581.88778927327667</v>
      </c>
      <c r="AO41" s="59">
        <f t="shared" si="36"/>
        <v>269.67340993773422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149.77938857142865</v>
      </c>
      <c r="BF41" s="13">
        <f t="shared" si="37"/>
        <v>38.528446588331214</v>
      </c>
      <c r="BG41" s="20">
        <f t="shared" si="7"/>
        <v>327.96947956991511</v>
      </c>
      <c r="BH41" s="59">
        <f t="shared" si="8"/>
        <v>621.30281290324842</v>
      </c>
      <c r="BI41" s="59">
        <f ca="1">AVERAGE(OFFSET($BH$3,0,0,'Données projet'!$E$11+1,1))-AVERAGE(OFFSET($H$3,0,0,'Données projet'!$E$11+1,1))</f>
        <v>646.50767193970182</v>
      </c>
      <c r="BJ41" s="59">
        <f t="shared" si="38"/>
        <v>297.06786598620607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99.084826285714342</v>
      </c>
      <c r="CA41" s="13">
        <f t="shared" si="39"/>
        <v>26.743853505202381</v>
      </c>
      <c r="CB41" s="20">
        <f t="shared" si="10"/>
        <v>219.1516173025133</v>
      </c>
      <c r="CC41" s="59">
        <f t="shared" si="11"/>
        <v>512.48495063584664</v>
      </c>
      <c r="CD41" s="59">
        <f ca="1">AVERAGE(OFFSET($CC$3,0,0,'Données projet'!$E$12+1,1))-AVERAGE(OFFSET($H$3,0,0,'Données projet'!$E$12+1,1))</f>
        <v>442.85175349826028</v>
      </c>
      <c r="CE41" s="59">
        <f t="shared" si="40"/>
        <v>210.70697808232501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6.3325490196078427</v>
      </c>
      <c r="N42" s="13">
        <f>IF('Données projet'!$A$36&gt;35,N41+M42-V41,IF(A42&lt;'Données projet'!$A$36,$K$205^A42,IF(A42='Données projet'!$A$36,'Données projet'!$B$36,N41+M42-V41)))</f>
        <v>246.96941176470602</v>
      </c>
      <c r="O42" s="13">
        <f>N42*VLOOKUP('Données projet'!$B$9,Paramètres!$A$1:$I$89,3,0)*VLOOKUP('Données projet'!$B$9,Paramètres!$A$1:$I$89,5,0)</f>
        <v>115.58168470588241</v>
      </c>
      <c r="P42" s="13">
        <f t="shared" si="33"/>
        <v>30.642260709081778</v>
      </c>
      <c r="Q42" s="20">
        <f t="shared" si="53"/>
        <v>254.6733715977293</v>
      </c>
      <c r="R42" s="59">
        <f t="shared" si="0"/>
        <v>548.00670493106259</v>
      </c>
      <c r="S42" s="59">
        <f ca="1">AVERAGE(OFFSET($R$3,0,0,'Données projet'!$E$9+1,1))-AVERAGE(OFFSET($H$3,0,0,'Données projet'!$E$9+1,1))</f>
        <v>289.01603252482897</v>
      </c>
      <c r="T42" s="59">
        <f t="shared" si="34"/>
        <v>233.84231920589906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137.16638742857151</v>
      </c>
      <c r="AK42" s="13">
        <f t="shared" si="35"/>
        <v>35.647094153273272</v>
      </c>
      <c r="AL42" s="20">
        <f t="shared" si="4"/>
        <v>300.98348042171295</v>
      </c>
      <c r="AM42" s="59">
        <f t="shared" si="5"/>
        <v>594.31681375504627</v>
      </c>
      <c r="AN42" s="59">
        <f ca="1">AVERAGE(OFFSET($AM$3,0,0,'Données projet'!$E$10+1,1))-AVERAGE(OFFSET($H$3,0,0,'Données projet'!$E$10+1,1))</f>
        <v>581.88778927327667</v>
      </c>
      <c r="AO42" s="59">
        <f t="shared" si="36"/>
        <v>269.67340993773422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153.72095142857154</v>
      </c>
      <c r="BF42" s="13">
        <f t="shared" si="37"/>
        <v>39.422975492399672</v>
      </c>
      <c r="BG42" s="20">
        <f t="shared" si="7"/>
        <v>336.39233938735816</v>
      </c>
      <c r="BH42" s="59">
        <f t="shared" si="8"/>
        <v>629.72567272069148</v>
      </c>
      <c r="BI42" s="59">
        <f ca="1">AVERAGE(OFFSET($BH$3,0,0,'Données projet'!$E$11+1,1))-AVERAGE(OFFSET($H$3,0,0,'Données projet'!$E$11+1,1))</f>
        <v>646.50767193970182</v>
      </c>
      <c r="BJ42" s="59">
        <f t="shared" si="38"/>
        <v>297.06786598620607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101.69232171428578</v>
      </c>
      <c r="CA42" s="13">
        <f t="shared" si="39"/>
        <v>27.364775241865971</v>
      </c>
      <c r="CB42" s="20">
        <f t="shared" si="10"/>
        <v>224.7744438652976</v>
      </c>
      <c r="CC42" s="59">
        <f t="shared" si="11"/>
        <v>518.10777719863086</v>
      </c>
      <c r="CD42" s="59">
        <f ca="1">AVERAGE(OFFSET($CC$3,0,0,'Données projet'!$E$12+1,1))-AVERAGE(OFFSET($H$3,0,0,'Données projet'!$E$12+1,1))</f>
        <v>442.85175349826028</v>
      </c>
      <c r="CE42" s="59">
        <f t="shared" si="40"/>
        <v>210.70697808232501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6.3325490196078427</v>
      </c>
      <c r="N43" s="13">
        <f>IF('Données projet'!$A$36&gt;35,N42+M43-V42,IF(A43&lt;'Données projet'!$A$36,$K$205^A43,IF(A43='Données projet'!$A$36,'Données projet'!$B$36,N42+M43-V42)))</f>
        <v>253.30196078431388</v>
      </c>
      <c r="O43" s="13">
        <f>N43*VLOOKUP('Données projet'!$B$9,Paramètres!$A$1:$I$89,3,0)*VLOOKUP('Données projet'!$B$9,Paramètres!$A$1:$I$89,5,0)</f>
        <v>118.54531764705889</v>
      </c>
      <c r="P43" s="13">
        <f t="shared" si="33"/>
        <v>31.335478067400494</v>
      </c>
      <c r="Q43" s="20">
        <f t="shared" si="53"/>
        <v>261.04238586935008</v>
      </c>
      <c r="R43" s="59">
        <f t="shared" si="0"/>
        <v>554.3757192026834</v>
      </c>
      <c r="S43" s="59">
        <f ca="1">AVERAGE(OFFSET($R$3,0,0,'Données projet'!$E$9+1,1))-AVERAGE(OFFSET($H$3,0,0,'Données projet'!$E$9+1,1))</f>
        <v>289.01603252482897</v>
      </c>
      <c r="T43" s="59">
        <f t="shared" si="34"/>
        <v>233.84231920589906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140.68347428571437</v>
      </c>
      <c r="AK43" s="13">
        <f t="shared" si="35"/>
        <v>36.453535449340755</v>
      </c>
      <c r="AL43" s="20">
        <f t="shared" si="4"/>
        <v>308.51362528855435</v>
      </c>
      <c r="AM43" s="59">
        <f t="shared" si="5"/>
        <v>601.84695862188767</v>
      </c>
      <c r="AN43" s="59">
        <f ca="1">AVERAGE(OFFSET($AM$3,0,0,'Données projet'!$E$10+1,1))-AVERAGE(OFFSET($H$3,0,0,'Données projet'!$E$10+1,1))</f>
        <v>581.88778927327667</v>
      </c>
      <c r="AO43" s="59">
        <f t="shared" si="36"/>
        <v>269.67340993773422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157.66251428571439</v>
      </c>
      <c r="BF43" s="13">
        <f t="shared" si="37"/>
        <v>40.314838243237894</v>
      </c>
      <c r="BG43" s="20">
        <f t="shared" si="7"/>
        <v>344.81055565459184</v>
      </c>
      <c r="BH43" s="59">
        <f t="shared" si="8"/>
        <v>638.14388898792515</v>
      </c>
      <c r="BI43" s="59">
        <f ca="1">AVERAGE(OFFSET($BH$3,0,0,'Données projet'!$E$11+1,1))-AVERAGE(OFFSET($H$3,0,0,'Données projet'!$E$11+1,1))</f>
        <v>646.50767193970182</v>
      </c>
      <c r="BJ43" s="59">
        <f t="shared" si="38"/>
        <v>297.06786598620607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104.29981714285719</v>
      </c>
      <c r="CA43" s="13">
        <f t="shared" si="39"/>
        <v>27.983846314468938</v>
      </c>
      <c r="CB43" s="20">
        <f t="shared" si="10"/>
        <v>230.3940471881763</v>
      </c>
      <c r="CC43" s="59">
        <f t="shared" si="11"/>
        <v>523.72738052150964</v>
      </c>
      <c r="CD43" s="59">
        <f ca="1">AVERAGE(OFFSET($CC$3,0,0,'Données projet'!$E$12+1,1))-AVERAGE(OFFSET($H$3,0,0,'Données projet'!$E$12+1,1))</f>
        <v>442.85175349826028</v>
      </c>
      <c r="CE43" s="59">
        <f t="shared" si="40"/>
        <v>210.70697808232501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6.3325490196078427</v>
      </c>
      <c r="N44" s="13">
        <f>IF('Données projet'!$A$36&gt;35,N43+M44-V43,IF(A44&lt;'Données projet'!$A$36,$K$205^A44,IF(A44='Données projet'!$A$36,'Données projet'!$B$36,N43+M44-V43)))</f>
        <v>259.63450980392173</v>
      </c>
      <c r="O44" s="13">
        <f>N44*VLOOKUP('Données projet'!$B$9,Paramètres!$A$1:$I$89,3,0)*VLOOKUP('Données projet'!$B$9,Paramètres!$A$1:$I$89,5,0)</f>
        <v>121.50895058823538</v>
      </c>
      <c r="P44" s="13">
        <f t="shared" si="33"/>
        <v>32.026680873705374</v>
      </c>
      <c r="Q44" s="20">
        <f t="shared" si="53"/>
        <v>267.40789146288012</v>
      </c>
      <c r="R44" s="59">
        <f t="shared" si="0"/>
        <v>560.74122479621337</v>
      </c>
      <c r="S44" s="59">
        <f ca="1">AVERAGE(OFFSET($R$3,0,0,'Données projet'!$E$9+1,1))-AVERAGE(OFFSET($H$3,0,0,'Données projet'!$E$9+1,1))</f>
        <v>289.01603252482897</v>
      </c>
      <c r="T44" s="59">
        <f t="shared" si="34"/>
        <v>233.84231920589906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144.20056114285723</v>
      </c>
      <c r="AK44" s="13">
        <f t="shared" si="35"/>
        <v>37.257633154444321</v>
      </c>
      <c r="AL44" s="20">
        <f t="shared" si="4"/>
        <v>316.03968840113345</v>
      </c>
      <c r="AM44" s="59">
        <f t="shared" si="5"/>
        <v>609.37302173446676</v>
      </c>
      <c r="AN44" s="59">
        <f ca="1">AVERAGE(OFFSET($AM$3,0,0,'Données projet'!$E$10+1,1))-AVERAGE(OFFSET($H$3,0,0,'Données projet'!$E$10+1,1))</f>
        <v>581.88778927327667</v>
      </c>
      <c r="AO44" s="59">
        <f t="shared" si="36"/>
        <v>269.67340993773422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161.60407714285725</v>
      </c>
      <c r="BF44" s="13">
        <f t="shared" si="37"/>
        <v>41.204109160679089</v>
      </c>
      <c r="BG44" s="20">
        <f t="shared" si="7"/>
        <v>353.2242578119924</v>
      </c>
      <c r="BH44" s="59">
        <f t="shared" si="8"/>
        <v>646.55759114532566</v>
      </c>
      <c r="BI44" s="59">
        <f ca="1">AVERAGE(OFFSET($BH$3,0,0,'Données projet'!$E$11+1,1))-AVERAGE(OFFSET($H$3,0,0,'Données projet'!$E$11+1,1))</f>
        <v>646.50767193970182</v>
      </c>
      <c r="BJ44" s="59">
        <f t="shared" si="38"/>
        <v>297.06786598620607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106.90731257142863</v>
      </c>
      <c r="CA44" s="13">
        <f t="shared" si="39"/>
        <v>28.601118310835538</v>
      </c>
      <c r="CB44" s="20">
        <f t="shared" si="10"/>
        <v>236.01051711994342</v>
      </c>
      <c r="CC44" s="59">
        <f t="shared" si="11"/>
        <v>529.34385045327667</v>
      </c>
      <c r="CD44" s="59">
        <f ca="1">AVERAGE(OFFSET($CC$3,0,0,'Données projet'!$E$12+1,1))-AVERAGE(OFFSET($H$3,0,0,'Données projet'!$E$12+1,1))</f>
        <v>442.85175349826028</v>
      </c>
      <c r="CE44" s="59">
        <f t="shared" si="40"/>
        <v>210.70697808232501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6.3325490196078427</v>
      </c>
      <c r="N45" s="13">
        <f>IF('Données projet'!$A$36&gt;35,N44+M45-V44,IF(A45&lt;'Données projet'!$A$36,$K$205^A45,IF(A45='Données projet'!$A$36,'Données projet'!$B$36,N44+M45-V44)))</f>
        <v>265.96705882352956</v>
      </c>
      <c r="O45" s="13">
        <f>N45*VLOOKUP('Données projet'!$B$9,Paramètres!$A$1:$I$89,3,0)*VLOOKUP('Données projet'!$B$9,Paramètres!$A$1:$I$89,5,0)</f>
        <v>124.47258352941184</v>
      </c>
      <c r="P45" s="13">
        <f t="shared" si="33"/>
        <v>32.715923915966371</v>
      </c>
      <c r="Q45" s="20">
        <f t="shared" si="53"/>
        <v>273.76998380070035</v>
      </c>
      <c r="R45" s="59">
        <f t="shared" si="0"/>
        <v>567.10331713403366</v>
      </c>
      <c r="S45" s="59">
        <f ca="1">AVERAGE(OFFSET($R$3,0,0,'Données projet'!$E$9+1,1))-AVERAGE(OFFSET($H$3,0,0,'Données projet'!$E$9+1,1))</f>
        <v>289.01603252482897</v>
      </c>
      <c r="T45" s="59">
        <f t="shared" si="34"/>
        <v>233.84231920589906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147.71764800000008</v>
      </c>
      <c r="AK45" s="13">
        <f t="shared" si="35"/>
        <v>38.059451005131997</v>
      </c>
      <c r="AL45" s="20">
        <f t="shared" si="4"/>
        <v>323.56178076727167</v>
      </c>
      <c r="AM45" s="59">
        <f t="shared" si="5"/>
        <v>616.89511410060504</v>
      </c>
      <c r="AN45" s="59">
        <f ca="1">AVERAGE(OFFSET($AM$3,0,0,'Données projet'!$E$10+1,1))-AVERAGE(OFFSET($H$3,0,0,'Données projet'!$E$10+1,1))</f>
        <v>581.88778927327667</v>
      </c>
      <c r="AO45" s="59">
        <f t="shared" si="36"/>
        <v>269.67340993773422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5.575369807727423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5.575369807727423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165.54564000000011</v>
      </c>
      <c r="BF45" s="13">
        <f t="shared" si="37"/>
        <v>42.090858732498674</v>
      </c>
      <c r="BG45" s="20">
        <f t="shared" si="7"/>
        <v>361.6335686257687</v>
      </c>
      <c r="BH45" s="59">
        <f t="shared" si="8"/>
        <v>654.96690195910196</v>
      </c>
      <c r="BI45" s="59">
        <f ca="1">AVERAGE(OFFSET($BH$3,0,0,'Données projet'!$E$11+1,1))-AVERAGE(OFFSET($H$3,0,0,'Données projet'!$E$11+1,1))</f>
        <v>646.50767193970182</v>
      </c>
      <c r="BJ45" s="59">
        <f t="shared" si="38"/>
        <v>297.06786598620607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6.2482592672807336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6.2482592672807336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109.51480800000007</v>
      </c>
      <c r="CA45" s="13">
        <f t="shared" si="39"/>
        <v>29.216640158833595</v>
      </c>
      <c r="CB45" s="20">
        <f t="shared" si="10"/>
        <v>241.62393887663529</v>
      </c>
      <c r="CC45" s="59">
        <f t="shared" si="11"/>
        <v>534.95727220996855</v>
      </c>
      <c r="CD45" s="59">
        <f ca="1">AVERAGE(OFFSET($CC$3,0,0,'Données projet'!$E$12+1,1))-AVERAGE(OFFSET($H$3,0,0,'Données projet'!$E$12+1,1))</f>
        <v>442.85175349826028</v>
      </c>
      <c r="CE45" s="59">
        <f t="shared" si="40"/>
        <v>210.70697808232501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0.159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5.0947344794750595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5.0947344794750595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6.3325490196078427</v>
      </c>
      <c r="N46" s="13">
        <f>IF('Données projet'!$A$36&gt;35,N45+M46-V45,IF(A46&lt;'Données projet'!$A$36,$K$205^A46,IF(A46='Données projet'!$A$36,'Données projet'!$B$36,N45+M46-V45)))</f>
        <v>272.29960784313738</v>
      </c>
      <c r="O46" s="13">
        <f>N46*VLOOKUP('Données projet'!$B$9,Paramètres!$A$1:$I$89,3,0)*VLOOKUP('Données projet'!$B$9,Paramètres!$A$1:$I$89,5,0)</f>
        <v>127.43621647058829</v>
      </c>
      <c r="P46" s="13">
        <f t="shared" si="33"/>
        <v>33.403259224399079</v>
      </c>
      <c r="Q46" s="20">
        <f t="shared" si="53"/>
        <v>280.12875350210294</v>
      </c>
      <c r="R46" s="59">
        <f t="shared" si="0"/>
        <v>573.46208683543625</v>
      </c>
      <c r="S46" s="59">
        <f ca="1">AVERAGE(OFFSET($R$3,0,0,'Données projet'!$E$9+1,1))-AVERAGE(OFFSET($H$3,0,0,'Données projet'!$E$9+1,1))</f>
        <v>289.01603252482897</v>
      </c>
      <c r="T46" s="59">
        <f t="shared" si="34"/>
        <v>233.84231920589906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117.10034700000008</v>
      </c>
      <c r="AK46" s="13">
        <f t="shared" si="35"/>
        <v>30.997743089027207</v>
      </c>
      <c r="AL46" s="20">
        <f t="shared" si="4"/>
        <v>257.93750690505584</v>
      </c>
      <c r="AM46" s="59">
        <f t="shared" si="5"/>
        <v>551.27084023838916</v>
      </c>
      <c r="AN46" s="59">
        <f ca="1">AVERAGE(OFFSET($AM$3,0,0,'Données projet'!$E$10+1,1))-AVERAGE(OFFSET($H$3,0,0,'Données projet'!$E$10+1,1))</f>
        <v>581.88778927327667</v>
      </c>
      <c r="AO46" s="59">
        <f t="shared" si="36"/>
        <v>269.67340993773422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5.4660402064376861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5.4660402064376861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131.23314750000011</v>
      </c>
      <c r="BF46" s="13">
        <f t="shared" si="37"/>
        <v>34.281146756704409</v>
      </c>
      <c r="BG46" s="20">
        <f t="shared" si="7"/>
        <v>288.27072916376034</v>
      </c>
      <c r="BH46" s="59">
        <f t="shared" si="8"/>
        <v>581.60406249709365</v>
      </c>
      <c r="BI46" s="59">
        <f ca="1">AVERAGE(OFFSET($BH$3,0,0,'Données projet'!$E$11+1,1))-AVERAGE(OFFSET($H$3,0,0,'Données projet'!$E$11+1,1))</f>
        <v>646.50767193970182</v>
      </c>
      <c r="BJ46" s="59">
        <f t="shared" si="38"/>
        <v>297.06786598620607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6.1257347141112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6.1257347141112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86.81577450000006</v>
      </c>
      <c r="CA46" s="13">
        <f t="shared" si="39"/>
        <v>23.795663932355723</v>
      </c>
      <c r="CB46" s="20">
        <f t="shared" si="10"/>
        <v>192.6482552696863</v>
      </c>
      <c r="CC46" s="59">
        <f t="shared" si="11"/>
        <v>485.98158860301965</v>
      </c>
      <c r="CD46" s="59">
        <f ca="1">AVERAGE(OFFSET($CC$3,0,0,'Données projet'!$E$12+1,1))-AVERAGE(OFFSET($H$3,0,0,'Données projet'!$E$12+1,1))</f>
        <v>442.85175349826028</v>
      </c>
      <c r="CE46" s="59">
        <f t="shared" si="40"/>
        <v>210.70697808232501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4.9948298438137479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4.9948298438137479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6.3325490196078427</v>
      </c>
      <c r="N47" s="13">
        <f>IF('Données projet'!$A$36&gt;35,N46+M47-V46,IF(A47&lt;'Données projet'!$A$36,$K$205^A47,IF(A47='Données projet'!$A$36,'Données projet'!$B$36,N46+M47-V46)))</f>
        <v>278.63215686274521</v>
      </c>
      <c r="O47" s="13">
        <f>N47*VLOOKUP('Données projet'!$B$9,Paramètres!$A$1:$I$89,3,0)*VLOOKUP('Données projet'!$B$9,Paramètres!$A$1:$I$89,5,0)</f>
        <v>130.39984941176476</v>
      </c>
      <c r="P47" s="13">
        <f t="shared" si="33"/>
        <v>34.088736271133541</v>
      </c>
      <c r="Q47" s="20">
        <f t="shared" si="53"/>
        <v>286.48428673104786</v>
      </c>
      <c r="R47" s="59">
        <f t="shared" si="0"/>
        <v>579.81762006438112</v>
      </c>
      <c r="S47" s="59">
        <f ca="1">AVERAGE(OFFSET($R$3,0,0,'Données projet'!$E$9+1,1))-AVERAGE(OFFSET($H$3,0,0,'Données projet'!$E$9+1,1))</f>
        <v>289.01603252482897</v>
      </c>
      <c r="T47" s="59">
        <f t="shared" si="34"/>
        <v>233.84231920589906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125.5794540000001</v>
      </c>
      <c r="AK47" s="13">
        <f t="shared" si="35"/>
        <v>32.97285338000448</v>
      </c>
      <c r="AL47" s="20">
        <f t="shared" si="4"/>
        <v>276.14526868684135</v>
      </c>
      <c r="AM47" s="59">
        <f t="shared" si="5"/>
        <v>569.47860202017466</v>
      </c>
      <c r="AN47" s="59">
        <f ca="1">AVERAGE(OFFSET($AM$3,0,0,'Données projet'!$E$10+1,1))-AVERAGE(OFFSET($H$3,0,0,'Données projet'!$E$10+1,1))</f>
        <v>581.88778927327667</v>
      </c>
      <c r="AO47" s="59">
        <f t="shared" si="36"/>
        <v>269.67340993773422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5.3588544919447685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5.3588544919447685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140.7355950000001</v>
      </c>
      <c r="BF47" s="13">
        <f t="shared" si="37"/>
        <v>36.465468549139587</v>
      </c>
      <c r="BG47" s="20">
        <f t="shared" si="7"/>
        <v>308.62518568141826</v>
      </c>
      <c r="BH47" s="59">
        <f t="shared" si="8"/>
        <v>601.95851901475157</v>
      </c>
      <c r="BI47" s="59">
        <f ca="1">AVERAGE(OFFSET($BH$3,0,0,'Données projet'!$E$11+1,1))-AVERAGE(OFFSET($H$3,0,0,'Données projet'!$E$11+1,1))</f>
        <v>646.50767193970182</v>
      </c>
      <c r="BJ47" s="59">
        <f t="shared" si="38"/>
        <v>297.06786598620607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6.0056127926967227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6.0056127926967227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93.102009000000081</v>
      </c>
      <c r="CA47" s="13">
        <f t="shared" si="39"/>
        <v>25.31187305049858</v>
      </c>
      <c r="CB47" s="20">
        <f t="shared" si="10"/>
        <v>206.23751123795182</v>
      </c>
      <c r="CC47" s="59">
        <f t="shared" si="11"/>
        <v>499.57084457128514</v>
      </c>
      <c r="CD47" s="59">
        <f ca="1">AVERAGE(OFFSET($CC$3,0,0,'Données projet'!$E$12+1,1))-AVERAGE(OFFSET($H$3,0,0,'Données projet'!$E$12+1,1))</f>
        <v>442.85175349826028</v>
      </c>
      <c r="CE47" s="59">
        <f t="shared" si="40"/>
        <v>210.70697808232501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4.8968842771219441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4.8968842771219441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6.3325490196078427</v>
      </c>
      <c r="N48" s="13">
        <f>IF('Données projet'!$A$36&gt;35,N47+M48-V47,IF(A48&lt;'Données projet'!$A$36,$K$205^A48,IF(A48='Données projet'!$A$36,'Données projet'!$B$36,N47+M48-V47)))</f>
        <v>284.96470588235303</v>
      </c>
      <c r="O48" s="13">
        <f>N48*VLOOKUP('Données projet'!$B$9,Paramètres!$A$1:$I$89,3,0)*VLOOKUP('Données projet'!$B$9,Paramètres!$A$1:$I$89,5,0)</f>
        <v>133.36348235294122</v>
      </c>
      <c r="P48" s="13">
        <f t="shared" si="33"/>
        <v>34.772402151219566</v>
      </c>
      <c r="Q48" s="20">
        <f t="shared" si="53"/>
        <v>292.8366655114134</v>
      </c>
      <c r="R48" s="59">
        <f t="shared" si="0"/>
        <v>586.16999884474671</v>
      </c>
      <c r="S48" s="59">
        <f ca="1">AVERAGE(OFFSET($R$3,0,0,'Données projet'!$E$9+1,1))-AVERAGE(OFFSET($H$3,0,0,'Données projet'!$E$9+1,1))</f>
        <v>289.01603252482897</v>
      </c>
      <c r="T48" s="59">
        <f t="shared" si="34"/>
        <v>233.84231920589906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134.05856100000008</v>
      </c>
      <c r="AK48" s="13">
        <f t="shared" si="35"/>
        <v>34.932489097291651</v>
      </c>
      <c r="AL48" s="20">
        <f t="shared" si="4"/>
        <v>294.3260789194498</v>
      </c>
      <c r="AM48" s="59">
        <f t="shared" si="5"/>
        <v>587.65941225278311</v>
      </c>
      <c r="AN48" s="59">
        <f ca="1">AVERAGE(OFFSET($AM$3,0,0,'Données projet'!$E$10+1,1))-AVERAGE(OFFSET($H$3,0,0,'Données projet'!$E$10+1,1))</f>
        <v>581.88778927327667</v>
      </c>
      <c r="AO48" s="59">
        <f t="shared" si="36"/>
        <v>269.67340993773422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5.2537706239362265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5.2537706239362265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150.23804250000012</v>
      </c>
      <c r="BF48" s="13">
        <f t="shared" si="37"/>
        <v>38.632676639775759</v>
      </c>
      <c r="BG48" s="20">
        <f t="shared" si="7"/>
        <v>328.94983583510964</v>
      </c>
      <c r="BH48" s="59">
        <f t="shared" si="8"/>
        <v>622.28316916844301</v>
      </c>
      <c r="BI48" s="59">
        <f ca="1">AVERAGE(OFFSET($BH$3,0,0,'Données projet'!$E$11+1,1))-AVERAGE(OFFSET($H$3,0,0,'Données projet'!$E$11+1,1))</f>
        <v>646.50767193970182</v>
      </c>
      <c r="BJ48" s="59">
        <f t="shared" si="38"/>
        <v>297.06786598620607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5.8878463888940464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5.8878463888940464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99.388243500000073</v>
      </c>
      <c r="CA48" s="13">
        <f t="shared" si="39"/>
        <v>26.816202989116352</v>
      </c>
      <c r="CB48" s="20">
        <f t="shared" si="10"/>
        <v>219.8060776352111</v>
      </c>
      <c r="CC48" s="59">
        <f t="shared" si="11"/>
        <v>513.13941096854444</v>
      </c>
      <c r="CD48" s="59">
        <f ca="1">AVERAGE(OFFSET($CC$3,0,0,'Données projet'!$E$12+1,1))-AVERAGE(OFFSET($H$3,0,0,'Données projet'!$E$12+1,1))</f>
        <v>442.85175349826028</v>
      </c>
      <c r="CE48" s="59">
        <f t="shared" si="40"/>
        <v>210.70697808232501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4.8008593632520693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4.8008593632520693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6.3325490196078427</v>
      </c>
      <c r="N49" s="13">
        <f>IF('Données projet'!$A$36&gt;35,N48+M49-V48,IF(A49&lt;'Données projet'!$A$36,$K$205^A49,IF(A49='Données projet'!$A$36,'Données projet'!$B$36,N48+M49-V48)))</f>
        <v>291.29725490196086</v>
      </c>
      <c r="O49" s="13">
        <f>N49*VLOOKUP('Données projet'!$B$9,Paramètres!$A$1:$I$89,3,0)*VLOOKUP('Données projet'!$B$9,Paramètres!$A$1:$I$89,5,0)</f>
        <v>136.32711529411768</v>
      </c>
      <c r="P49" s="13">
        <f t="shared" si="33"/>
        <v>35.454301747089289</v>
      </c>
      <c r="Q49" s="20">
        <f t="shared" si="53"/>
        <v>299.18596801343546</v>
      </c>
      <c r="R49" s="59">
        <f t="shared" si="0"/>
        <v>592.51930134676877</v>
      </c>
      <c r="S49" s="59">
        <f ca="1">AVERAGE(OFFSET($R$3,0,0,'Données projet'!$E$9+1,1))-AVERAGE(OFFSET($H$3,0,0,'Données projet'!$E$9+1,1))</f>
        <v>289.01603252482897</v>
      </c>
      <c r="T49" s="59">
        <f t="shared" si="34"/>
        <v>233.84231920589906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142.53766800000008</v>
      </c>
      <c r="AK49" s="13">
        <f t="shared" si="35"/>
        <v>36.877740410345027</v>
      </c>
      <c r="AL49" s="20">
        <f t="shared" si="4"/>
        <v>312.48183631468436</v>
      </c>
      <c r="AM49" s="59">
        <f t="shared" si="5"/>
        <v>605.81516964801767</v>
      </c>
      <c r="AN49" s="59">
        <f ca="1">AVERAGE(OFFSET($AM$3,0,0,'Données projet'!$E$10+1,1))-AVERAGE(OFFSET($H$3,0,0,'Données projet'!$E$10+1,1))</f>
        <v>581.88778927327667</v>
      </c>
      <c r="AO49" s="59">
        <f t="shared" si="36"/>
        <v>269.67340993773422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5.1507473864845013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5.1507473864845013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159.74049000000011</v>
      </c>
      <c r="BF49" s="13">
        <f t="shared" si="37"/>
        <v>40.783976673134042</v>
      </c>
      <c r="BG49" s="20">
        <f t="shared" si="7"/>
        <v>349.24677945570858</v>
      </c>
      <c r="BH49" s="59">
        <f t="shared" si="8"/>
        <v>642.58011278904189</v>
      </c>
      <c r="BI49" s="59">
        <f ca="1">AVERAGE(OFFSET($BH$3,0,0,'Données projet'!$E$11+1,1))-AVERAGE(OFFSET($H$3,0,0,'Données projet'!$E$11+1,1))</f>
        <v>646.50767193970182</v>
      </c>
      <c r="BJ49" s="59">
        <f t="shared" si="38"/>
        <v>297.06786598620607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5.7723893124395271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5.7723893124395271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105.67447800000009</v>
      </c>
      <c r="CA49" s="13">
        <f t="shared" si="39"/>
        <v>28.30949062545972</v>
      </c>
      <c r="CB49" s="20">
        <f t="shared" si="10"/>
        <v>233.35541202267584</v>
      </c>
      <c r="CC49" s="59">
        <f t="shared" si="11"/>
        <v>526.68874535600912</v>
      </c>
      <c r="CD49" s="59">
        <f ca="1">AVERAGE(OFFSET($CC$3,0,0,'Données projet'!$E$12+1,1))-AVERAGE(OFFSET($H$3,0,0,'Données projet'!$E$12+1,1))</f>
        <v>442.85175349826028</v>
      </c>
      <c r="CE49" s="59">
        <f t="shared" si="40"/>
        <v>210.70697808232501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4.7067174393737687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4.7067174393737687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6.3325490196078427</v>
      </c>
      <c r="N50" s="13">
        <f>IF('Données projet'!$A$36&gt;35,N49+M50-V49,IF(A50&lt;'Données projet'!$A$36,$K$205^A50,IF(A50='Données projet'!$A$36,'Données projet'!$B$36,N49+M50-V49)))</f>
        <v>297.62980392156868</v>
      </c>
      <c r="O50" s="13">
        <f>N50*VLOOKUP('Données projet'!$B$9,Paramètres!$A$1:$I$89,3,0)*VLOOKUP('Données projet'!$B$9,Paramètres!$A$1:$I$89,5,0)</f>
        <v>139.29074823529416</v>
      </c>
      <c r="P50" s="13">
        <f t="shared" si="33"/>
        <v>36.134477878314861</v>
      </c>
      <c r="Q50" s="20">
        <f t="shared" si="53"/>
        <v>305.53226881453571</v>
      </c>
      <c r="R50" s="59">
        <f t="shared" si="0"/>
        <v>598.86560214786903</v>
      </c>
      <c r="S50" s="59">
        <f ca="1">AVERAGE(OFFSET($R$3,0,0,'Données projet'!$E$9+1,1))-AVERAGE(OFFSET($H$3,0,0,'Données projet'!$E$9+1,1))</f>
        <v>289.01603252482897</v>
      </c>
      <c r="T50" s="59">
        <f t="shared" si="34"/>
        <v>233.84231920589906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151.01677500000011</v>
      </c>
      <c r="AK50" s="13">
        <f t="shared" si="35"/>
        <v>38.809560459830927</v>
      </c>
      <c r="AL50" s="20">
        <f t="shared" si="4"/>
        <v>330.61420092587235</v>
      </c>
      <c r="AM50" s="59">
        <f t="shared" si="5"/>
        <v>623.94753425920567</v>
      </c>
      <c r="AN50" s="59">
        <f ca="1">AVERAGE(OFFSET($AM$3,0,0,'Données projet'!$E$10+1,1))-AVERAGE(OFFSET($H$3,0,0,'Données projet'!$E$10+1,1))</f>
        <v>581.88778927327667</v>
      </c>
      <c r="AO50" s="59">
        <f t="shared" si="36"/>
        <v>269.67340993773422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5.0497443718812338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5.0497443718812338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169.24293750000012</v>
      </c>
      <c r="BF50" s="13">
        <f t="shared" si="37"/>
        <v>42.920422750313541</v>
      </c>
      <c r="BG50" s="20">
        <f t="shared" si="7"/>
        <v>369.51785243596299</v>
      </c>
      <c r="BH50" s="59">
        <f t="shared" si="8"/>
        <v>662.85118576929631</v>
      </c>
      <c r="BI50" s="59">
        <f ca="1">AVERAGE(OFFSET($BH$3,0,0,'Données projet'!$E$11+1,1))-AVERAGE(OFFSET($H$3,0,0,'Données projet'!$E$11+1,1))</f>
        <v>646.50767193970182</v>
      </c>
      <c r="BJ50" s="59">
        <f t="shared" si="38"/>
        <v>297.06786598620607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5.6591962788324173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5.6591962788324173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111.96071250000007</v>
      </c>
      <c r="CA50" s="13">
        <f t="shared" si="39"/>
        <v>29.792467645539148</v>
      </c>
      <c r="CB50" s="20">
        <f t="shared" si="10"/>
        <v>246.8867887534808</v>
      </c>
      <c r="CC50" s="59">
        <f t="shared" si="11"/>
        <v>540.22012208681417</v>
      </c>
      <c r="CD50" s="59">
        <f ca="1">AVERAGE(OFFSET($CC$3,0,0,'Données projet'!$E$12+1,1))-AVERAGE(OFFSET($H$3,0,0,'Données projet'!$E$12+1,1))</f>
        <v>442.85175349826028</v>
      </c>
      <c r="CE50" s="59">
        <f t="shared" si="40"/>
        <v>210.70697808232501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4.6144215812018174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4.6144215812018174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6.3325490196078427</v>
      </c>
      <c r="N51" s="13">
        <f>IF('Données projet'!$A$36&gt;35,N50+M51-V50,IF(A51&lt;'Données projet'!$A$36,$K$205^A51,IF(A51='Données projet'!$A$36,'Données projet'!$B$36,N50+M51-V50)))</f>
        <v>303.9623529411765</v>
      </c>
      <c r="O51" s="13">
        <f>N51*VLOOKUP('Données projet'!$B$9,Paramètres!$A$1:$I$89,3,0)*VLOOKUP('Données projet'!$B$9,Paramètres!$A$1:$I$89,5,0)</f>
        <v>142.25438117647062</v>
      </c>
      <c r="P51" s="13">
        <f t="shared" si="33"/>
        <v>36.812971438261386</v>
      </c>
      <c r="Q51" s="20">
        <f t="shared" si="53"/>
        <v>311.87563913732487</v>
      </c>
      <c r="R51" s="59">
        <f t="shared" si="0"/>
        <v>605.20897247065818</v>
      </c>
      <c r="S51" s="59">
        <f ca="1">AVERAGE(OFFSET($R$3,0,0,'Données projet'!$E$9+1,1))-AVERAGE(OFFSET($H$3,0,0,'Données projet'!$E$9+1,1))</f>
        <v>289.01603252482897</v>
      </c>
      <c r="T51" s="59">
        <f t="shared" si="34"/>
        <v>233.84231920589906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159.49588200000008</v>
      </c>
      <c r="AK51" s="13">
        <f t="shared" si="35"/>
        <v>40.728789309687656</v>
      </c>
      <c r="AL51" s="20">
        <f t="shared" si="4"/>
        <v>348.72463586437283</v>
      </c>
      <c r="AM51" s="59">
        <f t="shared" si="5"/>
        <v>642.05796919770614</v>
      </c>
      <c r="AN51" s="59">
        <f ca="1">AVERAGE(OFFSET($AM$3,0,0,'Données projet'!$E$10+1,1))-AVERAGE(OFFSET($H$3,0,0,'Données projet'!$E$10+1,1))</f>
        <v>581.88778927327667</v>
      </c>
      <c r="AO51" s="59">
        <f t="shared" si="36"/>
        <v>269.67340993773422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4.9507219647885812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4.9507219647885812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178.74538500000011</v>
      </c>
      <c r="BF51" s="13">
        <f t="shared" si="37"/>
        <v>45.042943918150705</v>
      </c>
      <c r="BG51" s="20">
        <f t="shared" si="7"/>
        <v>389.76467286577935</v>
      </c>
      <c r="BH51" s="59">
        <f t="shared" si="8"/>
        <v>683.09800619911266</v>
      </c>
      <c r="BI51" s="59">
        <f ca="1">AVERAGE(OFFSET($BH$3,0,0,'Données projet'!$E$11+1,1))-AVERAGE(OFFSET($H$3,0,0,'Données projet'!$E$11+1,1))</f>
        <v>646.50767193970182</v>
      </c>
      <c r="BJ51" s="59">
        <f t="shared" si="38"/>
        <v>297.06786598620607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5.5482228915734098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5.5482228915734098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118.24694700000009</v>
      </c>
      <c r="CA51" s="13">
        <f t="shared" si="39"/>
        <v>31.265778931115893</v>
      </c>
      <c r="CB51" s="20">
        <f t="shared" si="10"/>
        <v>260.40133099669362</v>
      </c>
      <c r="CC51" s="59">
        <f t="shared" si="11"/>
        <v>553.73466433002693</v>
      </c>
      <c r="CD51" s="59">
        <f ca="1">AVERAGE(OFFSET($CC$3,0,0,'Données projet'!$E$12+1,1))-AVERAGE(OFFSET($H$3,0,0,'Données projet'!$E$12+1,1))</f>
        <v>442.85175349826028</v>
      </c>
      <c r="CE51" s="59">
        <f t="shared" si="40"/>
        <v>210.70697808232501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4.5239355885137034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4.5239355885137034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6.3325490196078427</v>
      </c>
      <c r="N52" s="13">
        <f>IF('Données projet'!$A$36&gt;35,N51+M52-V51,IF(A52&lt;'Données projet'!$A$36,$K$205^A52,IF(A52='Données projet'!$A$36,'Données projet'!$B$36,N51+M52-V51)))</f>
        <v>310.29490196078433</v>
      </c>
      <c r="O52" s="13">
        <f>N52*VLOOKUP('Données projet'!$B$9,Paramètres!$A$1:$I$89,3,0)*VLOOKUP('Données projet'!$B$9,Paramètres!$A$1:$I$89,5,0)</f>
        <v>145.21801411764707</v>
      </c>
      <c r="P52" s="13">
        <f t="shared" si="33"/>
        <v>37.489821519030656</v>
      </c>
      <c r="Q52" s="20">
        <f t="shared" si="53"/>
        <v>318.21614706721363</v>
      </c>
      <c r="R52" s="59">
        <f t="shared" si="0"/>
        <v>611.54948040054694</v>
      </c>
      <c r="S52" s="59">
        <f ca="1">AVERAGE(OFFSET($R$3,0,0,'Données projet'!$E$9+1,1))-AVERAGE(OFFSET($H$3,0,0,'Données projet'!$E$9+1,1))</f>
        <v>289.01603252482897</v>
      </c>
      <c r="T52" s="59">
        <f t="shared" si="34"/>
        <v>233.84231920589906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167.97498900000011</v>
      </c>
      <c r="AK52" s="13">
        <f t="shared" si="35"/>
        <v>42.636172660412917</v>
      </c>
      <c r="AL52" s="20">
        <f t="shared" si="4"/>
        <v>366.81443989188602</v>
      </c>
      <c r="AM52" s="59">
        <f t="shared" si="5"/>
        <v>660.14777322521934</v>
      </c>
      <c r="AN52" s="59">
        <f ca="1">AVERAGE(OFFSET($AM$3,0,0,'Données projet'!$E$10+1,1))-AVERAGE(OFFSET($H$3,0,0,'Données projet'!$E$10+1,1))</f>
        <v>581.88778927327667</v>
      </c>
      <c r="AO52" s="59">
        <f t="shared" si="36"/>
        <v>269.67340993773422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4.853641326701311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4.853641326701311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188.24783250000013</v>
      </c>
      <c r="BF52" s="13">
        <f t="shared" si="37"/>
        <v>47.152364864692288</v>
      </c>
      <c r="BG52" s="20">
        <f t="shared" si="7"/>
        <v>409.98867707683922</v>
      </c>
      <c r="BH52" s="59">
        <f t="shared" si="8"/>
        <v>703.32201041017254</v>
      </c>
      <c r="BI52" s="59">
        <f ca="1">AVERAGE(OFFSET($BH$3,0,0,'Données projet'!$E$11+1,1))-AVERAGE(OFFSET($H$3,0,0,'Données projet'!$E$11+1,1))</f>
        <v>646.50767193970182</v>
      </c>
      <c r="BJ52" s="59">
        <f t="shared" si="38"/>
        <v>297.06786598620607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5.4394256247514683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5.4394256247514683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124.53318150000007</v>
      </c>
      <c r="CA52" s="13">
        <f t="shared" si="39"/>
        <v>32.729996925105766</v>
      </c>
      <c r="CB52" s="20">
        <f t="shared" si="10"/>
        <v>273.9000357570593</v>
      </c>
      <c r="CC52" s="59">
        <f t="shared" si="11"/>
        <v>567.23336909039267</v>
      </c>
      <c r="CD52" s="59">
        <f ca="1">AVERAGE(OFFSET($CC$3,0,0,'Données projet'!$E$12+1,1))-AVERAGE(OFFSET($H$3,0,0,'Données projet'!$E$12+1,1))</f>
        <v>442.85175349826028</v>
      </c>
      <c r="CE52" s="59">
        <f t="shared" si="40"/>
        <v>210.70697808232501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4.4352239709511974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4.4352239709511974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6.3325490196078427</v>
      </c>
      <c r="N53" s="13">
        <f>IF('Données projet'!$A$36&gt;35,N52+M53-V52,IF(A53&lt;'Données projet'!$A$36,$K$205^A53,IF(A53='Données projet'!$A$36,'Données projet'!$B$36,N52+M53-V52)))</f>
        <v>316.62745098039215</v>
      </c>
      <c r="O53" s="13">
        <f>N53*VLOOKUP('Données projet'!$B$9,Paramètres!$A$1:$I$89,3,0)*VLOOKUP('Données projet'!$B$9,Paramètres!$A$1:$I$89,5,0)</f>
        <v>148.18164705882353</v>
      </c>
      <c r="P53" s="13">
        <f t="shared" si="33"/>
        <v>38.165065525917342</v>
      </c>
      <c r="Q53" s="20">
        <f t="shared" si="53"/>
        <v>324.55385775175705</v>
      </c>
      <c r="R53" s="59">
        <f t="shared" si="0"/>
        <v>617.88719108509031</v>
      </c>
      <c r="S53" s="59">
        <f ca="1">AVERAGE(OFFSET($R$3,0,0,'Données projet'!$E$9+1,1))-AVERAGE(OFFSET($H$3,0,0,'Données projet'!$E$9+1,1))</f>
        <v>289.01603252482897</v>
      </c>
      <c r="T53" s="59">
        <f t="shared" si="34"/>
        <v>233.84231920589906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176.45409600000011</v>
      </c>
      <c r="AK53" s="13">
        <f t="shared" si="35"/>
        <v>44.532376676436577</v>
      </c>
      <c r="AL53" s="20">
        <f t="shared" si="4"/>
        <v>384.88477324479385</v>
      </c>
      <c r="AM53" s="59">
        <f t="shared" si="5"/>
        <v>678.21810657812716</v>
      </c>
      <c r="AN53" s="59">
        <f ca="1">AVERAGE(OFFSET($AM$3,0,0,'Données projet'!$E$10+1,1))-AVERAGE(OFFSET($H$3,0,0,'Données projet'!$E$10+1,1))</f>
        <v>581.88778927327667</v>
      </c>
      <c r="AO53" s="59">
        <f t="shared" si="36"/>
        <v>269.67340993773422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9.3493382006381829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9.3493382006381829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197.75028000000015</v>
      </c>
      <c r="BF53" s="13">
        <f t="shared" si="37"/>
        <v>49.24942231714175</v>
      </c>
      <c r="BG53" s="20">
        <f t="shared" si="7"/>
        <v>430.19114820235546</v>
      </c>
      <c r="BH53" s="59">
        <f t="shared" si="8"/>
        <v>723.52448153568878</v>
      </c>
      <c r="BI53" s="59">
        <f ca="1">AVERAGE(OFFSET($BH$3,0,0,'Données projet'!$E$11+1,1))-AVERAGE(OFFSET($H$3,0,0,'Données projet'!$E$11+1,1))</f>
        <v>646.50767193970182</v>
      </c>
      <c r="BJ53" s="59">
        <f t="shared" si="38"/>
        <v>297.06786598620607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10.477706604163481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10.477706604163481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130.81941600000007</v>
      </c>
      <c r="CA53" s="13">
        <f t="shared" si="39"/>
        <v>34.185633013929731</v>
      </c>
      <c r="CB53" s="20">
        <f t="shared" si="10"/>
        <v>287.38379369926105</v>
      </c>
      <c r="CC53" s="59">
        <f t="shared" si="11"/>
        <v>580.71712703259436</v>
      </c>
      <c r="CD53" s="59">
        <f ca="1">AVERAGE(OFFSET($CC$3,0,0,'Données projet'!$E$12+1,1))-AVERAGE(OFFSET($H$3,0,0,'Données projet'!$E$12+1,1))</f>
        <v>442.85175349826028</v>
      </c>
      <c r="CE53" s="59">
        <f t="shared" si="40"/>
        <v>210.70697808232501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0.159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8.5433607695486842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8.5433607695486842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322.95999999999998</v>
      </c>
      <c r="L54" s="12">
        <f>VLOOKUP(A54,'Données projet'!$A$35:$I$55,9,0)</f>
        <v>6.3325490196078427</v>
      </c>
      <c r="M54" s="12">
        <f t="array" ref="M54">INDEX(L:L,MIN(IF(ISNUMBER(L54:L250),ROW(L54:L250),"")))</f>
        <v>6.3325490196078427</v>
      </c>
      <c r="N54" s="13">
        <f>IF('Données projet'!$A$36&gt;35,N53+M54-V53,IF(A54&lt;'Données projet'!$A$36,$K$205^A54,IF(A54='Données projet'!$A$36,'Données projet'!$B$36,N53+M54-V53)))</f>
        <v>322.95999999999998</v>
      </c>
      <c r="O54" s="13">
        <f>N54*VLOOKUP('Données projet'!$B$9,Paramètres!$A$1:$I$89,3,0)*VLOOKUP('Données projet'!$B$9,Paramètres!$A$1:$I$89,5,0)</f>
        <v>151.14527999999999</v>
      </c>
      <c r="P54" s="13">
        <f t="shared" si="33"/>
        <v>38.838739282449957</v>
      </c>
      <c r="Q54" s="20">
        <f t="shared" si="53"/>
        <v>330.88883358360027</v>
      </c>
      <c r="R54" s="59">
        <f t="shared" si="0"/>
        <v>624.22216691693359</v>
      </c>
      <c r="S54" s="59">
        <f ca="1">AVERAGE(OFFSET($R$3,0,0,'Données projet'!$E$9+1,1))-AVERAGE(OFFSET($H$3,0,0,'Données projet'!$E$9+1,1))</f>
        <v>289.01603252482897</v>
      </c>
      <c r="T54" s="59">
        <f t="shared" si="34"/>
        <v>233.84231920589906</v>
      </c>
      <c r="U54" s="15">
        <f>IF(ISNA(VLOOKUP(A54,'Données projet'!$A$35:$I$55,3,0)),0,VLOOKUP(A54,'Données projet'!$A$35:$I$55,3,0))</f>
        <v>1</v>
      </c>
      <c r="V54" s="15">
        <f>IF(ISNA(VLOOKUP(A54,'Données projet'!$A$35:$I$55,4,0)),0,VLOOKUP(A54,'Données projet'!$A$35:$I$55,4,0))</f>
        <v>99.93</v>
      </c>
      <c r="W54" s="16">
        <f>IF(ISNA(VLOOKUP(A54,'Données projet'!$A$35:$I$55,5,0)),0%,VLOOKUP(A54,'Données projet'!$A$35:$I$55,5,0)*VLOOKUP('Données projet'!$B$9,Paramètres!$A$1:$I$89,7,0))</f>
        <v>0.38500000000000001</v>
      </c>
      <c r="X54" s="16">
        <f>IF(ISNA(VLOOKUP(A54,'Données projet'!$A$35:$I$55,6,0)),0%,VLOOKUP(A54,'Données projet'!$A$35:$I$55,6,0)*VLOOKUP('Données projet'!$B$9,Paramètres!$A$1:$I$89,7,0))</f>
        <v>0.16500000000000001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23.885306931258956</v>
      </c>
      <c r="AA54" s="21">
        <f>EXP(-LN(2)/25)*AA53+(1-EXP(-LN(2)/25))/(LN(2)/25)*Calculateur!V54*Calculateur!X54*VLOOKUP('Données projet'!$B$9,Paramètres!$A$1:$I$89,3,0)*0.475*44/12</f>
        <v>10.196254875795061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34.081561807054015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152.90554500000013</v>
      </c>
      <c r="AK54" s="13">
        <f t="shared" si="35"/>
        <v>39.238142074568863</v>
      </c>
      <c r="AL54" s="20">
        <f t="shared" si="4"/>
        <v>334.65025498820768</v>
      </c>
      <c r="AM54" s="59">
        <f t="shared" si="5"/>
        <v>627.98358832154099</v>
      </c>
      <c r="AN54" s="59">
        <f ca="1">AVERAGE(OFFSET($AM$3,0,0,'Données projet'!$E$10+1,1))-AVERAGE(OFFSET($H$3,0,0,'Données projet'!$E$10+1,1))</f>
        <v>581.88778927327667</v>
      </c>
      <c r="AO54" s="59">
        <f t="shared" si="36"/>
        <v>269.67340993773422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9.1660033810568926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9.1660033810568926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171.35966250000016</v>
      </c>
      <c r="BF54" s="13">
        <f t="shared" si="37"/>
        <v>43.39440142643388</v>
      </c>
      <c r="BG54" s="20">
        <f t="shared" si="7"/>
        <v>374.0299946718726</v>
      </c>
      <c r="BH54" s="59">
        <f t="shared" si="8"/>
        <v>667.36332800520586</v>
      </c>
      <c r="BI54" s="59">
        <f ca="1">AVERAGE(OFFSET($BH$3,0,0,'Données projet'!$E$11+1,1))-AVERAGE(OFFSET($H$3,0,0,'Données projet'!$E$11+1,1))</f>
        <v>646.50767193970182</v>
      </c>
      <c r="BJ54" s="59">
        <f t="shared" si="38"/>
        <v>297.06786598620607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10.272245168425828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10.272245168425828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113.3610075000001</v>
      </c>
      <c r="CA54" s="13">
        <f t="shared" si="39"/>
        <v>30.121471729565499</v>
      </c>
      <c r="CB54" s="20">
        <f t="shared" si="10"/>
        <v>249.89865132482677</v>
      </c>
      <c r="CC54" s="59">
        <f t="shared" si="11"/>
        <v>543.23198465816006</v>
      </c>
      <c r="CD54" s="59">
        <f ca="1">AVERAGE(OFFSET($CC$3,0,0,'Données projet'!$E$12+1,1))-AVERAGE(OFFSET($H$3,0,0,'Données projet'!$E$12+1,1))</f>
        <v>442.85175349826028</v>
      </c>
      <c r="CE54" s="59">
        <f t="shared" si="40"/>
        <v>210.70697808232501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8.3758306757933667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8.3758306757933667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12.18916666666667</v>
      </c>
      <c r="N55" s="13">
        <f>IF('Données projet'!$A$36&gt;35,N54+M55-V54,IF(A55&lt;'Données projet'!$A$36,$K$205^A55,IF(A55='Données projet'!$A$36,'Données projet'!$B$36,N54+M55-V54)))</f>
        <v>235.21916666666664</v>
      </c>
      <c r="O55" s="13">
        <f>N55*VLOOKUP('Données projet'!$B$9,Paramètres!$A$1:$I$89,3,0)*VLOOKUP('Données projet'!$B$9,Paramètres!$A$1:$I$89,5,0)</f>
        <v>110.08256999999999</v>
      </c>
      <c r="P55" s="13">
        <f t="shared" si="33"/>
        <v>29.350437858925002</v>
      </c>
      <c r="Q55" s="20">
        <f t="shared" si="53"/>
        <v>242.84582202096098</v>
      </c>
      <c r="R55" s="59">
        <f t="shared" si="0"/>
        <v>536.17915535429427</v>
      </c>
      <c r="S55" s="59">
        <f ca="1">AVERAGE(OFFSET($R$3,0,0,'Données projet'!$E$9+1,1))-AVERAGE(OFFSET($H$3,0,0,'Données projet'!$E$9+1,1))</f>
        <v>289.01603252482897</v>
      </c>
      <c r="T55" s="59">
        <f t="shared" si="34"/>
        <v>233.84231920589906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23.416930630935667</v>
      </c>
      <c r="AA55" s="21">
        <f>EXP(-LN(2)/25)*AA54+(1-EXP(-LN(2)/25))/(LN(2)/25)*Calculateur!V55*Calculateur!X55*VLOOKUP('Données projet'!$B$9,Paramètres!$A$1:$I$89,3,0)*0.475*44/12</f>
        <v>9.9174377500187045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33.334368380954373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161.54977800000012</v>
      </c>
      <c r="AK55" s="13">
        <f t="shared" si="35"/>
        <v>41.191875810979205</v>
      </c>
      <c r="AL55" s="20">
        <f t="shared" si="4"/>
        <v>353.10838038745561</v>
      </c>
      <c r="AM55" s="59">
        <f t="shared" si="5"/>
        <v>646.44171372078893</v>
      </c>
      <c r="AN55" s="59">
        <f ca="1">AVERAGE(OFFSET($AM$3,0,0,'Données projet'!$E$10+1,1))-AVERAGE(OFFSET($H$3,0,0,'Données projet'!$E$10+1,1))</f>
        <v>581.88778927327667</v>
      </c>
      <c r="AO55" s="59">
        <f t="shared" si="36"/>
        <v>269.67340993773422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8.9862636454643923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8.9862636454643923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181.04716500000015</v>
      </c>
      <c r="BF55" s="13">
        <f t="shared" si="37"/>
        <v>45.55508237501288</v>
      </c>
      <c r="BG55" s="20">
        <f t="shared" si="7"/>
        <v>394.66558084481431</v>
      </c>
      <c r="BH55" s="59">
        <f t="shared" si="8"/>
        <v>687.99891417814763</v>
      </c>
      <c r="BI55" s="59">
        <f ca="1">AVERAGE(OFFSET($BH$3,0,0,'Données projet'!$E$11+1,1))-AVERAGE(OFFSET($H$3,0,0,'Données projet'!$E$11+1,1))</f>
        <v>646.50767193970182</v>
      </c>
      <c r="BJ55" s="59">
        <f t="shared" si="38"/>
        <v>297.06786598620607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10.070812706123888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10.070812706123888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119.76966300000011</v>
      </c>
      <c r="CA55" s="13">
        <f t="shared" si="39"/>
        <v>31.621270965639045</v>
      </c>
      <c r="CB55" s="20">
        <f t="shared" si="10"/>
        <v>263.67254332348824</v>
      </c>
      <c r="CC55" s="59">
        <f t="shared" si="11"/>
        <v>557.00587665682156</v>
      </c>
      <c r="CD55" s="59">
        <f ca="1">AVERAGE(OFFSET($CC$3,0,0,'Données projet'!$E$12+1,1))-AVERAGE(OFFSET($H$3,0,0,'Données projet'!$E$12+1,1))</f>
        <v>442.85175349826028</v>
      </c>
      <c r="CE55" s="59">
        <f t="shared" si="40"/>
        <v>210.70697808232501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8.2115857449933234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8.2115857449933234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12.18916666666667</v>
      </c>
      <c r="N56" s="13">
        <f>IF('Données projet'!$A$36&gt;35,N55+M56-V55,IF(A56&lt;'Données projet'!$A$36,$K$205^A56,IF(A56='Données projet'!$A$36,'Données projet'!$B$36,N55+M56-V55)))</f>
        <v>247.4083333333333</v>
      </c>
      <c r="O56" s="13">
        <f>N56*VLOOKUP('Données projet'!$B$9,Paramètres!$A$1:$I$89,3,0)*VLOOKUP('Données projet'!$B$9,Paramètres!$A$1:$I$89,5,0)</f>
        <v>115.78709999999998</v>
      </c>
      <c r="P56" s="13">
        <f t="shared" si="33"/>
        <v>30.690375142051142</v>
      </c>
      <c r="Q56" s="20">
        <f t="shared" si="53"/>
        <v>255.11493587240568</v>
      </c>
      <c r="R56" s="59">
        <f t="shared" si="0"/>
        <v>548.44826920573905</v>
      </c>
      <c r="S56" s="59">
        <f ca="1">AVERAGE(OFFSET($R$3,0,0,'Données projet'!$E$9+1,1))-AVERAGE(OFFSET($H$3,0,0,'Données projet'!$E$9+1,1))</f>
        <v>289.01603252482897</v>
      </c>
      <c r="T56" s="59">
        <f t="shared" si="34"/>
        <v>233.84231920589906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22.957738904180381</v>
      </c>
      <c r="AA56" s="21">
        <f>EXP(-LN(2)/25)*AA55+(1-EXP(-LN(2)/25))/(LN(2)/25)*Calculateur!V56*Calculateur!X56*VLOOKUP('Données projet'!$B$9,Paramètres!$A$1:$I$89,3,0)*0.475*44/12</f>
        <v>9.6462448932090581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32.603983797389439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170.19401100000013</v>
      </c>
      <c r="AK56" s="13">
        <f t="shared" si="35"/>
        <v>43.133472710542861</v>
      </c>
      <c r="AL56" s="20">
        <f t="shared" si="4"/>
        <v>371.54536746252899</v>
      </c>
      <c r="AM56" s="59">
        <f t="shared" si="5"/>
        <v>664.8787007958623</v>
      </c>
      <c r="AN56" s="59">
        <f ca="1">AVERAGE(OFFSET($AM$3,0,0,'Données projet'!$E$10+1,1))-AVERAGE(OFFSET($H$3,0,0,'Données projet'!$E$10+1,1))</f>
        <v>581.88778927327667</v>
      </c>
      <c r="AO56" s="59">
        <f t="shared" si="36"/>
        <v>269.67340993773422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8.8100484964564476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8.8100484964564476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190.73466750000017</v>
      </c>
      <c r="BF56" s="13">
        <f t="shared" si="37"/>
        <v>47.70234090493684</v>
      </c>
      <c r="BG56" s="20">
        <f t="shared" si="7"/>
        <v>415.27778963859856</v>
      </c>
      <c r="BH56" s="59">
        <f t="shared" si="8"/>
        <v>708.61112297193188</v>
      </c>
      <c r="BI56" s="59">
        <f ca="1">AVERAGE(OFFSET($BH$3,0,0,'Données projet'!$E$11+1,1))-AVERAGE(OFFSET($H$3,0,0,'Données projet'!$E$11+1,1))</f>
        <v>646.50767193970182</v>
      </c>
      <c r="BJ56" s="59">
        <f t="shared" si="38"/>
        <v>297.06786598620607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9.8733302115460191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9.8733302115460191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126.17831850000012</v>
      </c>
      <c r="CA56" s="13">
        <f t="shared" si="39"/>
        <v>33.1117532624123</v>
      </c>
      <c r="CB56" s="20">
        <f t="shared" si="10"/>
        <v>277.43020831953498</v>
      </c>
      <c r="CC56" s="59">
        <f t="shared" si="11"/>
        <v>570.7635416528683</v>
      </c>
      <c r="CD56" s="59">
        <f ca="1">AVERAGE(OFFSET($CC$3,0,0,'Données projet'!$E$12+1,1))-AVERAGE(OFFSET($H$3,0,0,'Données projet'!$E$12+1,1))</f>
        <v>442.85175349826028</v>
      </c>
      <c r="CE56" s="59">
        <f t="shared" si="40"/>
        <v>210.70697808232501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8.0505615571067537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8.0505615571067537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12.18916666666667</v>
      </c>
      <c r="N57" s="13">
        <f>IF('Données projet'!$A$36&gt;35,N56+M57-V56,IF(A57&lt;'Données projet'!$A$36,$K$205^A57,IF(A57='Données projet'!$A$36,'Données projet'!$B$36,N56+M57-V56)))</f>
        <v>259.59749999999997</v>
      </c>
      <c r="O57" s="13">
        <f>N57*VLOOKUP('Données projet'!$B$9,Paramètres!$A$1:$I$89,3,0)*VLOOKUP('Données projet'!$B$9,Paramètres!$A$1:$I$89,5,0)</f>
        <v>121.49162999999999</v>
      </c>
      <c r="P57" s="13">
        <f t="shared" si="33"/>
        <v>32.022646969228624</v>
      </c>
      <c r="Q57" s="20">
        <f t="shared" si="53"/>
        <v>267.37069905473982</v>
      </c>
      <c r="R57" s="59">
        <f t="shared" si="0"/>
        <v>560.70403238807307</v>
      </c>
      <c r="S57" s="59">
        <f ca="1">AVERAGE(OFFSET($R$3,0,0,'Données projet'!$E$9+1,1))-AVERAGE(OFFSET($H$3,0,0,'Données projet'!$E$9+1,1))</f>
        <v>289.01603252482897</v>
      </c>
      <c r="T57" s="59">
        <f t="shared" si="34"/>
        <v>233.84231920589906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22.507551647107469</v>
      </c>
      <c r="AA57" s="21">
        <f>EXP(-LN(2)/25)*AA56+(1-EXP(-LN(2)/25))/(LN(2)/25)*Calculateur!V57*Calculateur!X57*VLOOKUP('Données projet'!$B$9,Paramètres!$A$1:$I$89,3,0)*0.475*44/12</f>
        <v>9.3824678193302837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31.890019466437753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178.83824400000015</v>
      </c>
      <c r="AK57" s="13">
        <f t="shared" si="35"/>
        <v>45.06361953668285</v>
      </c>
      <c r="AL57" s="20">
        <f t="shared" si="4"/>
        <v>389.96241232638954</v>
      </c>
      <c r="AM57" s="59">
        <f t="shared" si="5"/>
        <v>683.2957456597228</v>
      </c>
      <c r="AN57" s="59">
        <f ca="1">AVERAGE(OFFSET($AM$3,0,0,'Données projet'!$E$10+1,1))-AVERAGE(OFFSET($H$3,0,0,'Données projet'!$E$10+1,1))</f>
        <v>581.88778927327667</v>
      </c>
      <c r="AO57" s="59">
        <f t="shared" si="36"/>
        <v>269.67340993773422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8.6372888190399202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8.6372888190399202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200.42217000000019</v>
      </c>
      <c r="BF57" s="13">
        <f t="shared" si="37"/>
        <v>49.83693652432936</v>
      </c>
      <c r="BG57" s="20">
        <f t="shared" si="7"/>
        <v>435.8679438632073</v>
      </c>
      <c r="BH57" s="59">
        <f t="shared" si="8"/>
        <v>729.20127719654056</v>
      </c>
      <c r="BI57" s="59">
        <f ca="1">AVERAGE(OFFSET($BH$3,0,0,'Données projet'!$E$11+1,1))-AVERAGE(OFFSET($H$3,0,0,'Données projet'!$E$11+1,1))</f>
        <v>646.50767193970182</v>
      </c>
      <c r="BJ57" s="59">
        <f t="shared" si="38"/>
        <v>297.06786598620607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9.6797202282343946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9.6797202282343946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132.58697400000014</v>
      </c>
      <c r="CA57" s="13">
        <f t="shared" si="39"/>
        <v>34.59344581928714</v>
      </c>
      <c r="CB57" s="20">
        <f t="shared" si="10"/>
        <v>291.17256451859203</v>
      </c>
      <c r="CC57" s="59">
        <f t="shared" si="11"/>
        <v>584.50589785192528</v>
      </c>
      <c r="CD57" s="59">
        <f ca="1">AVERAGE(OFFSET($CC$3,0,0,'Données projet'!$E$12+1,1))-AVERAGE(OFFSET($H$3,0,0,'Données projet'!$E$12+1,1))</f>
        <v>442.85175349826028</v>
      </c>
      <c r="CE57" s="59">
        <f t="shared" si="40"/>
        <v>210.70697808232501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7.8926949553295822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7.8926949553295822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12.18916666666667</v>
      </c>
      <c r="N58" s="13">
        <f>IF('Données projet'!$A$36&gt;35,N57+M58-V57,IF(A58&lt;'Données projet'!$A$36,$K$205^A58,IF(A58='Données projet'!$A$36,'Données projet'!$B$36,N57+M58-V57)))</f>
        <v>271.78666666666663</v>
      </c>
      <c r="O58" s="13">
        <f>N58*VLOOKUP('Données projet'!$B$9,Paramètres!$A$1:$I$89,3,0)*VLOOKUP('Données projet'!$B$9,Paramètres!$A$1:$I$89,5,0)</f>
        <v>127.19615999999998</v>
      </c>
      <c r="P58" s="13">
        <f t="shared" si="33"/>
        <v>33.347654365530325</v>
      </c>
      <c r="Q58" s="20">
        <f t="shared" si="53"/>
        <v>279.61381001996523</v>
      </c>
      <c r="R58" s="59">
        <f t="shared" si="0"/>
        <v>572.94714335329854</v>
      </c>
      <c r="S58" s="59">
        <f ca="1">AVERAGE(OFFSET($R$3,0,0,'Données projet'!$E$9+1,1))-AVERAGE(OFFSET($H$3,0,0,'Données projet'!$E$9+1,1))</f>
        <v>289.01603252482897</v>
      </c>
      <c r="T58" s="59">
        <f t="shared" si="34"/>
        <v>233.84231920589906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22.066192287558643</v>
      </c>
      <c r="AA58" s="21">
        <f>EXP(-LN(2)/25)*AA57+(1-EXP(-LN(2)/25))/(LN(2)/25)*Calculateur!V58*Calculateur!X58*VLOOKUP('Données projet'!$B$9,Paramètres!$A$1:$I$89,3,0)*0.475*44/12</f>
        <v>9.1259037434081591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31.192096030966802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187.48247700000016</v>
      </c>
      <c r="AK58" s="13">
        <f t="shared" si="35"/>
        <v>46.982932911694917</v>
      </c>
      <c r="AL58" s="20">
        <f t="shared" si="4"/>
        <v>408.3605889295356</v>
      </c>
      <c r="AM58" s="59">
        <f t="shared" si="5"/>
        <v>701.69392226286891</v>
      </c>
      <c r="AN58" s="59">
        <f ca="1">AVERAGE(OFFSET($AM$3,0,0,'Données projet'!$E$10+1,1))-AVERAGE(OFFSET($H$3,0,0,'Données projet'!$E$10+1,1))</f>
        <v>581.88778927327667</v>
      </c>
      <c r="AO58" s="59">
        <f t="shared" si="36"/>
        <v>269.67340993773422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8.4679168535245335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8.4679168535245335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210.10967250000019</v>
      </c>
      <c r="BF58" s="13">
        <f t="shared" si="37"/>
        <v>51.959551170560943</v>
      </c>
      <c r="BG58" s="20">
        <f t="shared" si="7"/>
        <v>456.43723122622731</v>
      </c>
      <c r="BH58" s="59">
        <f t="shared" si="8"/>
        <v>749.77056455956063</v>
      </c>
      <c r="BI58" s="59">
        <f ca="1">AVERAGE(OFFSET($BH$3,0,0,'Données projet'!$E$11+1,1))-AVERAGE(OFFSET($H$3,0,0,'Données projet'!$E$11+1,1))</f>
        <v>646.50767193970182</v>
      </c>
      <c r="BJ58" s="59">
        <f t="shared" si="38"/>
        <v>297.06786598620607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9.4899068186050819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9.4899068186050819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138.99562950000012</v>
      </c>
      <c r="CA58" s="13">
        <f t="shared" si="39"/>
        <v>36.066821991271404</v>
      </c>
      <c r="CB58" s="20">
        <f t="shared" si="10"/>
        <v>304.9004363472979</v>
      </c>
      <c r="CC58" s="59">
        <f t="shared" si="11"/>
        <v>598.23376968063121</v>
      </c>
      <c r="CD58" s="59">
        <f ca="1">AVERAGE(OFFSET($CC$3,0,0,'Données projet'!$E$12+1,1))-AVERAGE(OFFSET($H$3,0,0,'Données projet'!$E$12+1,1))</f>
        <v>442.85175349826028</v>
      </c>
      <c r="CE58" s="59">
        <f t="shared" si="40"/>
        <v>210.70697808232501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7.737924021324142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7.737924021324142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12.18916666666667</v>
      </c>
      <c r="N59" s="13">
        <f>IF('Données projet'!$A$36&gt;35,N58+M59-V58,IF(A59&lt;'Données projet'!$A$36,$K$205^A59,IF(A59='Données projet'!$A$36,'Données projet'!$B$36,N58+M59-V58)))</f>
        <v>283.9758333333333</v>
      </c>
      <c r="O59" s="13">
        <f>N59*VLOOKUP('Données projet'!$B$9,Paramètres!$A$1:$I$89,3,0)*VLOOKUP('Données projet'!$B$9,Paramètres!$A$1:$I$89,5,0)</f>
        <v>132.90069</v>
      </c>
      <c r="P59" s="13">
        <f t="shared" si="33"/>
        <v>34.665760351926387</v>
      </c>
      <c r="Q59" s="20">
        <f t="shared" si="53"/>
        <v>291.84490102960513</v>
      </c>
      <c r="R59" s="59">
        <f t="shared" si="0"/>
        <v>585.17823436293838</v>
      </c>
      <c r="S59" s="59">
        <f ca="1">AVERAGE(OFFSET($R$3,0,0,'Données projet'!$E$9+1,1))-AVERAGE(OFFSET($H$3,0,0,'Données projet'!$E$9+1,1))</f>
        <v>289.01603252482897</v>
      </c>
      <c r="T59" s="59">
        <f t="shared" si="34"/>
        <v>233.84231920589906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21.633487715847942</v>
      </c>
      <c r="AA59" s="21">
        <f>EXP(-LN(2)/25)*AA58+(1-EXP(-LN(2)/25))/(LN(2)/25)*Calculateur!V59*Calculateur!X59*VLOOKUP('Données projet'!$B$9,Paramètres!$A$1:$I$89,3,0)*0.475*44/12</f>
        <v>8.8763554256342427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30.509843141482186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196.12671000000017</v>
      </c>
      <c r="AK59" s="13">
        <f t="shared" si="35"/>
        <v>48.891969383051702</v>
      </c>
      <c r="AL59" s="20">
        <f t="shared" si="4"/>
        <v>426.74086659214868</v>
      </c>
      <c r="AM59" s="59">
        <f t="shared" si="5"/>
        <v>720.07419992548193</v>
      </c>
      <c r="AN59" s="59">
        <f ca="1">AVERAGE(OFFSET($AM$3,0,0,'Données projet'!$E$10+1,1))-AVERAGE(OFFSET($H$3,0,0,'Données projet'!$E$10+1,1))</f>
        <v>581.88778927327667</v>
      </c>
      <c r="AO59" s="59">
        <f t="shared" si="36"/>
        <v>269.67340993773422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8.301866168946205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8.301866168946205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219.79717500000021</v>
      </c>
      <c r="BF59" s="13">
        <f t="shared" si="37"/>
        <v>54.070800342815986</v>
      </c>
      <c r="BG59" s="20">
        <f t="shared" si="7"/>
        <v>476.98672372207147</v>
      </c>
      <c r="BH59" s="59">
        <f t="shared" si="8"/>
        <v>770.32005705540473</v>
      </c>
      <c r="BI59" s="59">
        <f ca="1">AVERAGE(OFFSET($BH$3,0,0,'Données projet'!$E$11+1,1))-AVERAGE(OFFSET($H$3,0,0,'Données projet'!$E$11+1,1))</f>
        <v>646.50767193970182</v>
      </c>
      <c r="BJ59" s="59">
        <f t="shared" si="38"/>
        <v>297.06786598620607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9.3038155341638511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9.3038155341638511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145.40428500000013</v>
      </c>
      <c r="CA59" s="13">
        <f t="shared" si="39"/>
        <v>37.532309016457305</v>
      </c>
      <c r="CB59" s="20">
        <f t="shared" si="10"/>
        <v>318.61456791199669</v>
      </c>
      <c r="CC59" s="59">
        <f t="shared" si="11"/>
        <v>611.94790124533006</v>
      </c>
      <c r="CD59" s="59">
        <f ca="1">AVERAGE(OFFSET($CC$3,0,0,'Données projet'!$E$12+1,1))-AVERAGE(OFFSET($H$3,0,0,'Données projet'!$E$12+1,1))</f>
        <v>442.85175349826028</v>
      </c>
      <c r="CE59" s="59">
        <f t="shared" si="40"/>
        <v>210.70697808232501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7.5861880509336004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7.5861880509336004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12.18916666666667</v>
      </c>
      <c r="N60" s="13">
        <f>IF('Données projet'!$A$36&gt;35,N59+M60-V59,IF(A60&lt;'Données projet'!$A$36,$K$205^A60,IF(A60='Données projet'!$A$36,'Données projet'!$B$36,N59+M60-V59)))</f>
        <v>296.16499999999996</v>
      </c>
      <c r="O60" s="13">
        <f>N60*VLOOKUP('Données projet'!$B$9,Paramètres!$A$1:$I$89,3,0)*VLOOKUP('Données projet'!$B$9,Paramètres!$A$1:$I$89,5,0)</f>
        <v>138.60521999999997</v>
      </c>
      <c r="P60" s="13">
        <f t="shared" si="33"/>
        <v>35.977295022740158</v>
      </c>
      <c r="Q60" s="20">
        <f t="shared" si="53"/>
        <v>304.06454699793903</v>
      </c>
      <c r="R60" s="59">
        <f t="shared" si="0"/>
        <v>597.39788033127229</v>
      </c>
      <c r="S60" s="59">
        <f ca="1">AVERAGE(OFFSET($R$3,0,0,'Données projet'!$E$9+1,1))-AVERAGE(OFFSET($H$3,0,0,'Données projet'!$E$9+1,1))</f>
        <v>289.01603252482897</v>
      </c>
      <c r="T60" s="59">
        <f t="shared" si="34"/>
        <v>233.84231920589906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21.209268216864761</v>
      </c>
      <c r="AA60" s="21">
        <f>EXP(-LN(2)/25)*AA59+(1-EXP(-LN(2)/25))/(LN(2)/25)*Calculateur!V60*Calculateur!X60*VLOOKUP('Données projet'!$B$9,Paramètres!$A$1:$I$89,3,0)*0.475*44/12</f>
        <v>8.6336310197330306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29.842899236597791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204.77094300000016</v>
      </c>
      <c r="AK60" s="13">
        <f t="shared" si="35"/>
        <v>50.791233664926693</v>
      </c>
      <c r="AL60" s="20">
        <f t="shared" si="4"/>
        <v>445.10412435808092</v>
      </c>
      <c r="AM60" s="59">
        <f t="shared" si="5"/>
        <v>738.43745769141424</v>
      </c>
      <c r="AN60" s="59">
        <f ca="1">AVERAGE(OFFSET($AM$3,0,0,'Données projet'!$E$10+1,1))-AVERAGE(OFFSET($H$3,0,0,'Données projet'!$E$10+1,1))</f>
        <v>581.88778927327667</v>
      </c>
      <c r="AO60" s="59">
        <f t="shared" si="36"/>
        <v>269.67340993773422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8.1390716370115399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8.1390716370115399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229.4846775000002</v>
      </c>
      <c r="BF60" s="13">
        <f t="shared" si="37"/>
        <v>56.171242216591338</v>
      </c>
      <c r="BG60" s="20">
        <f t="shared" si="7"/>
        <v>497.51739350639696</v>
      </c>
      <c r="BH60" s="59">
        <f t="shared" si="8"/>
        <v>790.85072683973021</v>
      </c>
      <c r="BI60" s="59">
        <f ca="1">AVERAGE(OFFSET($BH$3,0,0,'Données projet'!$E$11+1,1))-AVERAGE(OFFSET($H$3,0,0,'Données projet'!$E$11+1,1))</f>
        <v>646.50767193970182</v>
      </c>
      <c r="BJ60" s="59">
        <f t="shared" si="38"/>
        <v>297.06786598620607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9.1213733863060362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9.1213733863060362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151.81294050000014</v>
      </c>
      <c r="CA60" s="13">
        <f t="shared" si="39"/>
        <v>38.990294342692991</v>
      </c>
      <c r="CB60" s="20">
        <f t="shared" si="10"/>
        <v>332.31563401769057</v>
      </c>
      <c r="CC60" s="59">
        <f t="shared" si="11"/>
        <v>625.64896735102388</v>
      </c>
      <c r="CD60" s="59">
        <f ca="1">AVERAGE(OFFSET($CC$3,0,0,'Données projet'!$E$12+1,1))-AVERAGE(OFFSET($H$3,0,0,'Données projet'!$E$12+1,1))</f>
        <v>442.85175349826028</v>
      </c>
      <c r="CE60" s="59">
        <f t="shared" si="40"/>
        <v>210.70697808232501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7.4374275303726138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7.4374275303726138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12.18916666666667</v>
      </c>
      <c r="N61" s="13">
        <f>IF('Données projet'!$A$36&gt;35,N60+M61-V60,IF(A61&lt;'Données projet'!$A$36,$K$205^A61,IF(A61='Données projet'!$A$36,'Données projet'!$B$36,N60+M61-V60)))</f>
        <v>308.35416666666663</v>
      </c>
      <c r="O61" s="13">
        <f>N61*VLOOKUP('Données projet'!$B$9,Paramètres!$A$1:$I$89,3,0)*VLOOKUP('Données projet'!$B$9,Paramètres!$A$1:$I$89,5,0)</f>
        <v>144.30974999999998</v>
      </c>
      <c r="P61" s="13">
        <f t="shared" si="33"/>
        <v>37.282559763674065</v>
      </c>
      <c r="Q61" s="20">
        <f t="shared" si="53"/>
        <v>316.27327283839895</v>
      </c>
      <c r="R61" s="59">
        <f t="shared" si="0"/>
        <v>609.60660617173221</v>
      </c>
      <c r="S61" s="59">
        <f ca="1">AVERAGE(OFFSET($R$3,0,0,'Données projet'!$E$9+1,1))-AVERAGE(OFFSET($H$3,0,0,'Données projet'!$E$9+1,1))</f>
        <v>289.01603252482897</v>
      </c>
      <c r="T61" s="59">
        <f t="shared" si="34"/>
        <v>233.84231920589906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20.793367403508295</v>
      </c>
      <c r="AA61" s="21">
        <f>EXP(-LN(2)/25)*AA60+(1-EXP(-LN(2)/25))/(LN(2)/25)*Calculateur!V61*Calculateur!X61*VLOOKUP('Données projet'!$B$9,Paramètres!$A$1:$I$89,3,0)*0.475*44/12</f>
        <v>8.3975439254755084</v>
      </c>
      <c r="AB61" s="21">
        <f>EXP(-LN(2)/2)*AB60+(1-EXP(-LN(2)/2))/(LN(2)/2)*V61*Y61*VLOOKUP('Données projet'!$B$9,Paramètres!$A$1:$I$89,3,0)*0.475*44/12</f>
        <v>0</v>
      </c>
      <c r="AC61" s="22">
        <f t="shared" si="3"/>
        <v>29.190911328983802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213.41517600000017</v>
      </c>
      <c r="AK61" s="13">
        <f t="shared" si="35"/>
        <v>52.681185448853228</v>
      </c>
      <c r="AL61" s="20">
        <f t="shared" si="4"/>
        <v>463.45116285675294</v>
      </c>
      <c r="AM61" s="59">
        <f t="shared" si="5"/>
        <v>756.7844961900862</v>
      </c>
      <c r="AN61" s="59">
        <f ca="1">AVERAGE(OFFSET($AM$3,0,0,'Données projet'!$E$10+1,1))-AVERAGE(OFFSET($H$3,0,0,'Données projet'!$E$10+1,1))</f>
        <v>581.88778927327667</v>
      </c>
      <c r="AO61" s="59">
        <f t="shared" si="36"/>
        <v>269.67340993773422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13.776770157795863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13.776770157795863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239.1721800000002</v>
      </c>
      <c r="BF61" s="13">
        <f t="shared" si="37"/>
        <v>58.261385175767472</v>
      </c>
      <c r="BG61" s="20">
        <f t="shared" si="7"/>
        <v>518.0301260144621</v>
      </c>
      <c r="BH61" s="59">
        <f t="shared" si="8"/>
        <v>811.36345934779547</v>
      </c>
      <c r="BI61" s="59">
        <f ca="1">AVERAGE(OFFSET($BH$3,0,0,'Données projet'!$E$11+1,1))-AVERAGE(OFFSET($H$3,0,0,'Données projet'!$E$11+1,1))</f>
        <v>646.50767193970182</v>
      </c>
      <c r="BJ61" s="59">
        <f t="shared" si="38"/>
        <v>297.06786598620607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15.439483797529846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15.439483797529846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158.22159600000012</v>
      </c>
      <c r="CA61" s="13">
        <f t="shared" si="39"/>
        <v>40.441130855838743</v>
      </c>
      <c r="CB61" s="20">
        <f t="shared" si="10"/>
        <v>346.00424927391936</v>
      </c>
      <c r="CC61" s="59">
        <f t="shared" si="11"/>
        <v>639.33758260725267</v>
      </c>
      <c r="CD61" s="59">
        <f ca="1">AVERAGE(OFFSET($CC$3,0,0,'Données projet'!$E$12+1,1))-AVERAGE(OFFSET($H$3,0,0,'Données projet'!$E$12+1,1))</f>
        <v>442.85175349826028</v>
      </c>
      <c r="CE61" s="59">
        <f t="shared" si="40"/>
        <v>210.70697808232501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0.159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12.589117557985876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12.589117557985876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12.18916666666667</v>
      </c>
      <c r="N62" s="13">
        <f>IF('Données projet'!$A$36&gt;35,N61+M62-V61,IF(A62&lt;'Données projet'!$A$36,$K$205^A62,IF(A62='Données projet'!$A$36,'Données projet'!$B$36,N61+M62-V61)))</f>
        <v>320.54333333333329</v>
      </c>
      <c r="O62" s="13">
        <f>N62*VLOOKUP('Données projet'!$B$9,Paramètres!$A$1:$I$89,3,0)*VLOOKUP('Données projet'!$B$9,Paramètres!$A$1:$I$89,5,0)</f>
        <v>150.01427999999999</v>
      </c>
      <c r="P62" s="13">
        <f t="shared" si="33"/>
        <v>38.581830784115766</v>
      </c>
      <c r="Q62" s="20">
        <f t="shared" si="53"/>
        <v>328.47155961566824</v>
      </c>
      <c r="R62" s="59">
        <f t="shared" si="0"/>
        <v>621.80489294900156</v>
      </c>
      <c r="S62" s="59">
        <f ca="1">AVERAGE(OFFSET($R$3,0,0,'Données projet'!$E$9+1,1))-AVERAGE(OFFSET($H$3,0,0,'Données projet'!$E$9+1,1))</f>
        <v>289.01603252482897</v>
      </c>
      <c r="T62" s="59">
        <f t="shared" si="34"/>
        <v>233.84231920589906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20.385622151427302</v>
      </c>
      <c r="AA62" s="21">
        <f>EXP(-LN(2)/25)*AA61+(1-EXP(-LN(2)/25))/(LN(2)/25)*Calculateur!V62*Calculateur!X62*VLOOKUP('Données projet'!$B$9,Paramètres!$A$1:$I$89,3,0)*0.475*44/12</f>
        <v>8.1679126452257389</v>
      </c>
      <c r="AB62" s="21">
        <f>EXP(-LN(2)/2)*AB61+(1-EXP(-LN(2)/2))/(LN(2)/2)*V62*Y62*VLOOKUP('Données projet'!$B$9,Paramètres!$A$1:$I$89,3,0)*0.475*44/12</f>
        <v>0</v>
      </c>
      <c r="AC62" s="22">
        <f t="shared" si="3"/>
        <v>28.55353479665304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181.13417400000017</v>
      </c>
      <c r="AK62" s="13">
        <f t="shared" si="35"/>
        <v>45.574426667354729</v>
      </c>
      <c r="AL62" s="20">
        <f t="shared" si="4"/>
        <v>394.85081282897653</v>
      </c>
      <c r="AM62" s="59">
        <f t="shared" si="5"/>
        <v>688.18414616230984</v>
      </c>
      <c r="AN62" s="59">
        <f ca="1">AVERAGE(OFFSET($AM$3,0,0,'Données projet'!$E$10+1,1))-AVERAGE(OFFSET($H$3,0,0,'Données projet'!$E$10+1,1))</f>
        <v>581.88778927327667</v>
      </c>
      <c r="AO62" s="59">
        <f t="shared" si="36"/>
        <v>269.67340993773422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13.506616098001555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13.506616098001555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202.99519500000022</v>
      </c>
      <c r="BF62" s="13">
        <f t="shared" si="37"/>
        <v>50.40185036856122</v>
      </c>
      <c r="BG62" s="20">
        <f t="shared" si="7"/>
        <v>441.33318735024449</v>
      </c>
      <c r="BH62" s="59">
        <f t="shared" si="8"/>
        <v>734.6665206835778</v>
      </c>
      <c r="BI62" s="59">
        <f ca="1">AVERAGE(OFFSET($BH$3,0,0,'Données projet'!$E$11+1,1))-AVERAGE(OFFSET($H$3,0,0,'Données projet'!$E$11+1,1))</f>
        <v>646.50767193970182</v>
      </c>
      <c r="BJ62" s="59">
        <f t="shared" si="38"/>
        <v>297.06786598620607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15.136724937415535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15.136724937415535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134.28912900000014</v>
      </c>
      <c r="CA62" s="13">
        <f t="shared" si="39"/>
        <v>34.985570974360854</v>
      </c>
      <c r="CB62" s="20">
        <f t="shared" si="10"/>
        <v>294.82010245534542</v>
      </c>
      <c r="CC62" s="59">
        <f t="shared" si="11"/>
        <v>588.15343578867873</v>
      </c>
      <c r="CD62" s="59">
        <f ca="1">AVERAGE(OFFSET($CC$3,0,0,'Données projet'!$E$12+1,1))-AVERAGE(OFFSET($H$3,0,0,'Données projet'!$E$12+1,1))</f>
        <v>442.85175349826028</v>
      </c>
      <c r="CE62" s="59">
        <f t="shared" si="40"/>
        <v>210.70697808232501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12.342252641277284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12.342252641277284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12.18916666666667</v>
      </c>
      <c r="N63" s="13">
        <f>IF('Données projet'!$A$36&gt;35,N62+M63-V62,IF(A63&lt;'Données projet'!$A$36,$K$205^A63,IF(A63='Données projet'!$A$36,'Données projet'!$B$36,N62+M63-V62)))</f>
        <v>332.73249999999996</v>
      </c>
      <c r="O63" s="13">
        <f>N63*VLOOKUP('Données projet'!$B$9,Paramètres!$A$1:$I$89,3,0)*VLOOKUP('Données projet'!$B$9,Paramètres!$A$1:$I$89,5,0)</f>
        <v>155.71880999999999</v>
      </c>
      <c r="P63" s="13">
        <f t="shared" si="33"/>
        <v>39.875362097048765</v>
      </c>
      <c r="Q63" s="20">
        <f t="shared" si="53"/>
        <v>340.65984973569317</v>
      </c>
      <c r="R63" s="59">
        <f t="shared" si="0"/>
        <v>633.99318306902649</v>
      </c>
      <c r="S63" s="59">
        <f ca="1">AVERAGE(OFFSET($R$3,0,0,'Données projet'!$E$9+1,1))-AVERAGE(OFFSET($H$3,0,0,'Données projet'!$E$9+1,1))</f>
        <v>289.01603252482897</v>
      </c>
      <c r="T63" s="59">
        <f t="shared" si="34"/>
        <v>233.84231920589906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19.985872535039569</v>
      </c>
      <c r="AA63" s="21">
        <f>EXP(-LN(2)/25)*AA62+(1-EXP(-LN(2)/25))/(LN(2)/25)*Calculateur!V63*Calculateur!X63*VLOOKUP('Données projet'!$B$9,Paramètres!$A$1:$I$89,3,0)*0.475*44/12</f>
        <v>7.9445606444101831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27.93043317944975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189.50583600000016</v>
      </c>
      <c r="AK63" s="13">
        <f t="shared" si="35"/>
        <v>47.430683653447495</v>
      </c>
      <c r="AL63" s="20">
        <f t="shared" si="4"/>
        <v>412.6644383964213</v>
      </c>
      <c r="AM63" s="59">
        <f t="shared" si="5"/>
        <v>705.99777172975462</v>
      </c>
      <c r="AN63" s="59">
        <f ca="1">AVERAGE(OFFSET($AM$3,0,0,'Données projet'!$E$10+1,1))-AVERAGE(OFFSET($H$3,0,0,'Données projet'!$E$10+1,1))</f>
        <v>581.88778927327667</v>
      </c>
      <c r="AO63" s="59">
        <f t="shared" si="36"/>
        <v>269.67340993773422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13.241759594542106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13.241759594542106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212.3772300000002</v>
      </c>
      <c r="BF63" s="13">
        <f t="shared" si="37"/>
        <v>52.454729443519689</v>
      </c>
      <c r="BG63" s="20">
        <f t="shared" si="7"/>
        <v>461.24899603079712</v>
      </c>
      <c r="BH63" s="59">
        <f t="shared" si="8"/>
        <v>754.58232936413037</v>
      </c>
      <c r="BI63" s="59">
        <f ca="1">AVERAGE(OFFSET($BH$3,0,0,'Données projet'!$E$11+1,1))-AVERAGE(OFFSET($H$3,0,0,'Données projet'!$E$11+1,1))</f>
        <v>646.50767193970182</v>
      </c>
      <c r="BJ63" s="59">
        <f t="shared" si="38"/>
        <v>297.06786598620607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14.839902993883396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14.839902993883396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140.49570600000013</v>
      </c>
      <c r="CA63" s="13">
        <f t="shared" si="39"/>
        <v>36.410541408056268</v>
      </c>
      <c r="CB63" s="20">
        <f t="shared" si="10"/>
        <v>308.11171423569823</v>
      </c>
      <c r="CC63" s="59">
        <f t="shared" si="11"/>
        <v>601.44504756903154</v>
      </c>
      <c r="CD63" s="59">
        <f ca="1">AVERAGE(OFFSET($CC$3,0,0,'Données projet'!$E$12+1,1))-AVERAGE(OFFSET($H$3,0,0,'Données projet'!$E$12+1,1))</f>
        <v>442.85175349826028</v>
      </c>
      <c r="CE63" s="59">
        <f t="shared" si="40"/>
        <v>210.70697808232501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12.100228595012616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12.100228595012616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12.18916666666667</v>
      </c>
      <c r="N64" s="13">
        <f>IF('Données projet'!$A$36&gt;35,N63+M64-V63,IF(A64&lt;'Données projet'!$A$36,$K$205^A64,IF(A64='Données projet'!$A$36,'Données projet'!$B$36,N63+M64-V63)))</f>
        <v>344.92166666666662</v>
      </c>
      <c r="O64" s="13">
        <f>N64*VLOOKUP('Données projet'!$B$9,Paramètres!$A$1:$I$89,3,0)*VLOOKUP('Données projet'!$B$9,Paramètres!$A$1:$I$89,5,0)</f>
        <v>161.42333999999997</v>
      </c>
      <c r="P64" s="13">
        <f t="shared" si="33"/>
        <v>41.163388050030811</v>
      </c>
      <c r="Q64" s="20">
        <f t="shared" si="53"/>
        <v>352.83855135380367</v>
      </c>
      <c r="R64" s="59">
        <f t="shared" si="0"/>
        <v>646.17188468713698</v>
      </c>
      <c r="S64" s="59">
        <f ca="1">AVERAGE(OFFSET($R$3,0,0,'Données projet'!$E$9+1,1))-AVERAGE(OFFSET($H$3,0,0,'Données projet'!$E$9+1,1))</f>
        <v>289.01603252482897</v>
      </c>
      <c r="T64" s="59">
        <f t="shared" si="34"/>
        <v>233.84231920589906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19.593961764806011</v>
      </c>
      <c r="AA64" s="21">
        <f>EXP(-LN(2)/25)*AA63+(1-EXP(-LN(2)/25))/(LN(2)/25)*Calculateur!V64*Calculateur!X64*VLOOKUP('Données projet'!$B$9,Paramètres!$A$1:$I$89,3,0)*0.475*44/12</f>
        <v>7.7273162158024995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27.32127798060851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197.87749800000014</v>
      </c>
      <c r="AK64" s="13">
        <f t="shared" si="35"/>
        <v>49.277416774103372</v>
      </c>
      <c r="AL64" s="20">
        <f t="shared" si="4"/>
        <v>430.46147656489694</v>
      </c>
      <c r="AM64" s="59">
        <f t="shared" si="5"/>
        <v>723.79480989823026</v>
      </c>
      <c r="AN64" s="59">
        <f ca="1">AVERAGE(OFFSET($AM$3,0,0,'Données projet'!$E$10+1,1))-AVERAGE(OFFSET($H$3,0,0,'Données projet'!$E$10+1,1))</f>
        <v>581.88778927327667</v>
      </c>
      <c r="AO64" s="59">
        <f t="shared" si="36"/>
        <v>269.67340993773422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12.982096765568983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12.982096765568983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221.7592650000002</v>
      </c>
      <c r="BF64" s="13">
        <f t="shared" si="37"/>
        <v>54.497075847509379</v>
      </c>
      <c r="BG64" s="20">
        <f t="shared" si="7"/>
        <v>481.14646030941248</v>
      </c>
      <c r="BH64" s="59">
        <f t="shared" si="8"/>
        <v>774.47979364274579</v>
      </c>
      <c r="BI64" s="59">
        <f ca="1">AVERAGE(OFFSET($BH$3,0,0,'Données projet'!$E$11+1,1))-AVERAGE(OFFSET($H$3,0,0,'Données projet'!$E$11+1,1))</f>
        <v>646.50767193970182</v>
      </c>
      <c r="BJ64" s="59">
        <f t="shared" si="38"/>
        <v>297.06786598620607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14.548901547620412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14.548901547620412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146.70228300000014</v>
      </c>
      <c r="CA64" s="13">
        <f t="shared" si="39"/>
        <v>37.828200770728785</v>
      </c>
      <c r="CB64" s="20">
        <f t="shared" si="10"/>
        <v>321.39059256735288</v>
      </c>
      <c r="CC64" s="59">
        <f t="shared" si="11"/>
        <v>614.72392590068625</v>
      </c>
      <c r="CD64" s="59">
        <f ca="1">AVERAGE(OFFSET($CC$3,0,0,'Données projet'!$E$12+1,1))-AVERAGE(OFFSET($H$3,0,0,'Données projet'!$E$12+1,1))</f>
        <v>442.85175349826028</v>
      </c>
      <c r="CE64" s="59">
        <f t="shared" si="40"/>
        <v>210.70697808232501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11.862950492675107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11.862950492675107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12.18916666666667</v>
      </c>
      <c r="N65" s="13">
        <f>IF('Données projet'!$A$36&gt;35,N64+M65-V64,IF(A65&lt;'Données projet'!$A$36,$K$205^A65,IF(A65='Données projet'!$A$36,'Données projet'!$B$36,N64+M65-V64)))</f>
        <v>357.11083333333329</v>
      </c>
      <c r="O65" s="13">
        <f>N65*VLOOKUP('Données projet'!$B$9,Paramètres!$A$1:$I$89,3,0)*VLOOKUP('Données projet'!$B$9,Paramètres!$A$1:$I$89,5,0)</f>
        <v>167.12786999999997</v>
      </c>
      <c r="P65" s="13">
        <f t="shared" si="33"/>
        <v>42.446125488351107</v>
      </c>
      <c r="Q65" s="20">
        <f t="shared" si="53"/>
        <v>365.00804214221148</v>
      </c>
      <c r="R65" s="59">
        <f t="shared" si="0"/>
        <v>658.34137547554474</v>
      </c>
      <c r="S65" s="59">
        <f ca="1">AVERAGE(OFFSET($R$3,0,0,'Données projet'!$E$9+1,1))-AVERAGE(OFFSET($H$3,0,0,'Données projet'!$E$9+1,1))</f>
        <v>289.01603252482897</v>
      </c>
      <c r="T65" s="59">
        <f t="shared" si="34"/>
        <v>233.84231920589906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19.209736125734764</v>
      </c>
      <c r="AA65" s="21">
        <f>EXP(-LN(2)/25)*AA64+(1-EXP(-LN(2)/25))/(LN(2)/25)*Calculateur!V65*Calculateur!X65*VLOOKUP('Données projet'!$B$9,Paramètres!$A$1:$I$89,3,0)*0.475*44/12</f>
        <v>7.5160123475194816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26.725748473254246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206.24916000000016</v>
      </c>
      <c r="AK65" s="13">
        <f t="shared" si="35"/>
        <v>51.115075026737237</v>
      </c>
      <c r="AL65" s="20">
        <f t="shared" si="4"/>
        <v>448.24270933823431</v>
      </c>
      <c r="AM65" s="59">
        <f t="shared" si="5"/>
        <v>741.57604267156762</v>
      </c>
      <c r="AN65" s="59">
        <f ca="1">AVERAGE(OFFSET($AM$3,0,0,'Données projet'!$E$10+1,1))-AVERAGE(OFFSET($H$3,0,0,'Données projet'!$E$10+1,1))</f>
        <v>581.88778927327667</v>
      </c>
      <c r="AO65" s="59">
        <f t="shared" si="36"/>
        <v>269.67340993773422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12.727525766293335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12.727525766293335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231.1413000000002</v>
      </c>
      <c r="BF65" s="13">
        <f t="shared" si="37"/>
        <v>56.529386137528874</v>
      </c>
      <c r="BG65" s="20">
        <f t="shared" si="7"/>
        <v>501.02644502286307</v>
      </c>
      <c r="BH65" s="59">
        <f t="shared" si="8"/>
        <v>794.35977835619633</v>
      </c>
      <c r="BI65" s="59">
        <f ca="1">AVERAGE(OFFSET($BH$3,0,0,'Données projet'!$E$11+1,1))-AVERAGE(OFFSET($H$3,0,0,'Données projet'!$E$11+1,1))</f>
        <v>646.50767193970182</v>
      </c>
      <c r="BJ65" s="59">
        <f t="shared" si="38"/>
        <v>297.06786598620607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14.26360646222529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14.26360646222529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152.90886000000012</v>
      </c>
      <c r="CA65" s="13">
        <f t="shared" si="39"/>
        <v>39.238893738813772</v>
      </c>
      <c r="CB65" s="20">
        <f t="shared" si="10"/>
        <v>334.65733776176751</v>
      </c>
      <c r="CC65" s="59">
        <f t="shared" si="11"/>
        <v>627.99067109510088</v>
      </c>
      <c r="CD65" s="59">
        <f ca="1">AVERAGE(OFFSET($CC$3,0,0,'Données projet'!$E$12+1,1))-AVERAGE(OFFSET($H$3,0,0,'Données projet'!$E$12+1,1))</f>
        <v>442.85175349826028</v>
      </c>
      <c r="CE65" s="59">
        <f t="shared" si="40"/>
        <v>210.70697808232501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11.630325269199085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11.630325269199085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369.3</v>
      </c>
      <c r="L66" s="12">
        <f>VLOOKUP(A66,'Données projet'!$A$35:$I$55,9,0)</f>
        <v>12.18916666666667</v>
      </c>
      <c r="M66" s="12">
        <f t="array" ref="M66">INDEX(L:L,MIN(IF(ISNUMBER(L66:L262),ROW(L66:L262),"")))</f>
        <v>12.18916666666667</v>
      </c>
      <c r="N66" s="13">
        <f>IF('Données projet'!$A$36&gt;35,N65+M66-V65,IF(A66&lt;'Données projet'!$A$36,$K$205^A66,IF(A66='Données projet'!$A$36,'Données projet'!$B$36,N65+M66-V65)))</f>
        <v>369.29999999999995</v>
      </c>
      <c r="O66" s="13">
        <f>N66*VLOOKUP('Données projet'!$B$9,Paramètres!$A$1:$I$89,3,0)*VLOOKUP('Données projet'!$B$9,Paramètres!$A$1:$I$89,5,0)</f>
        <v>172.83239999999998</v>
      </c>
      <c r="P66" s="13">
        <f t="shared" si="33"/>
        <v>43.723775614552544</v>
      </c>
      <c r="Q66" s="20">
        <f t="shared" si="53"/>
        <v>377.168672528679</v>
      </c>
      <c r="R66" s="59">
        <f t="shared" si="0"/>
        <v>670.50200586201231</v>
      </c>
      <c r="S66" s="59">
        <f ca="1">AVERAGE(OFFSET($R$3,0,0,'Données projet'!$E$9+1,1))-AVERAGE(OFFSET($H$3,0,0,'Données projet'!$E$9+1,1))</f>
        <v>289.01603252482897</v>
      </c>
      <c r="T66" s="59">
        <f t="shared" si="34"/>
        <v>233.84231920589906</v>
      </c>
      <c r="U66" s="15">
        <f>IF(ISNA(VLOOKUP(A66,'Données projet'!$A$35:$I$55,3,0)),0,VLOOKUP(A66,'Données projet'!$A$35:$I$55,3,0))</f>
        <v>2</v>
      </c>
      <c r="V66" s="15">
        <f>IF(ISNA(VLOOKUP(A66,'Données projet'!$A$35:$I$55,4,0)),0,VLOOKUP(A66,'Données projet'!$A$35:$I$55,4,0))</f>
        <v>113.87</v>
      </c>
      <c r="W66" s="16">
        <f>IF(ISNA(VLOOKUP(A66,'Données projet'!$A$35:$I$55,5,0)),0%,VLOOKUP(A66,'Données projet'!$A$35:$I$55,5,0)*VLOOKUP('Données projet'!$B$9,Paramètres!$A$1:$I$89,7,0))</f>
        <v>0.38500000000000001</v>
      </c>
      <c r="X66" s="16">
        <f>IF(ISNA(VLOOKUP(A66,'Données projet'!$A$35:$I$55,6,0)),0%,VLOOKUP(A66,'Données projet'!$A$35:$I$55,6,0)*VLOOKUP('Données projet'!$B$9,Paramètres!$A$1:$I$89,7,0))</f>
        <v>0.16500000000000001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46.050295995470648</v>
      </c>
      <c r="AA66" s="21">
        <f>EXP(-LN(2)/25)*AA65+(1-EXP(-LN(2)/25))/(LN(2)/25)*Calculateur!V66*Calculateur!X66*VLOOKUP('Données projet'!$B$9,Paramètres!$A$1:$I$89,3,0)*0.475*44/12</f>
        <v>18.929095047611579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64.979391043082231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214.62082200000015</v>
      </c>
      <c r="AK66" s="13">
        <f t="shared" si="35"/>
        <v>52.944068896315315</v>
      </c>
      <c r="AL66" s="20">
        <f t="shared" si="4"/>
        <v>466.0088516444161</v>
      </c>
      <c r="AM66" s="59">
        <f t="shared" si="5"/>
        <v>759.34218497774941</v>
      </c>
      <c r="AN66" s="59">
        <f ca="1">AVERAGE(OFFSET($AM$3,0,0,'Données projet'!$E$10+1,1))-AVERAGE(OFFSET($H$3,0,0,'Données projet'!$E$10+1,1))</f>
        <v>581.88778927327667</v>
      </c>
      <c r="AO66" s="59">
        <f t="shared" si="36"/>
        <v>269.67340993773422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12.477946749040505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12.477946749040505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240.52333500000023</v>
      </c>
      <c r="BF66" s="13">
        <f t="shared" si="37"/>
        <v>58.552114278737164</v>
      </c>
      <c r="BG66" s="20">
        <f t="shared" si="7"/>
        <v>520.88974082713423</v>
      </c>
      <c r="BH66" s="59">
        <f t="shared" si="8"/>
        <v>814.2230741604676</v>
      </c>
      <c r="BI66" s="59">
        <f ca="1">AVERAGE(OFFSET($BH$3,0,0,'Données projet'!$E$11+1,1))-AVERAGE(OFFSET($H$3,0,0,'Données projet'!$E$11+1,1))</f>
        <v>646.50767193970182</v>
      </c>
      <c r="BJ66" s="59">
        <f t="shared" si="38"/>
        <v>297.06786598620607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13.983905839441947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13.983905839441947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159.11543700000013</v>
      </c>
      <c r="CA66" s="13">
        <f t="shared" si="39"/>
        <v>40.642935424359166</v>
      </c>
      <c r="CB66" s="20">
        <f t="shared" si="10"/>
        <v>347.91249863909246</v>
      </c>
      <c r="CC66" s="59">
        <f t="shared" si="11"/>
        <v>641.24583197242578</v>
      </c>
      <c r="CD66" s="59">
        <f ca="1">AVERAGE(OFFSET($CC$3,0,0,'Données projet'!$E$12+1,1))-AVERAGE(OFFSET($H$3,0,0,'Données projet'!$E$12+1,1))</f>
        <v>442.85175349826028</v>
      </c>
      <c r="CE66" s="59">
        <f t="shared" si="40"/>
        <v>210.70697808232501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11.402261684468051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11.402261684468051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11.169166666666664</v>
      </c>
      <c r="N67" s="13">
        <f>IF('Données projet'!$A$36&gt;35,N66+M67-V66,IF(A67&lt;'Données projet'!$A$36,$K$205^A67,IF(A67='Données projet'!$A$36,'Données projet'!$B$36,N66+M67-V66)))</f>
        <v>266.59916666666663</v>
      </c>
      <c r="O67" s="13">
        <f>N67*VLOOKUP('Données projet'!$B$9,Paramètres!$A$1:$I$89,3,0)*VLOOKUP('Données projet'!$B$9,Paramètres!$A$1:$I$89,5,0)</f>
        <v>124.76840999999999</v>
      </c>
      <c r="P67" s="13">
        <f t="shared" si="33"/>
        <v>32.784617820498312</v>
      </c>
      <c r="Q67" s="20">
        <f t="shared" ref="Q67:Q98" si="54">(O67+P67)*0.475*44/12</f>
        <v>274.40485678736786</v>
      </c>
      <c r="R67" s="59">
        <f t="shared" ref="R67:R130" si="55">Q67+(I67+J67)*44/12</f>
        <v>567.73819012070112</v>
      </c>
      <c r="S67" s="59">
        <f ca="1">AVERAGE(OFFSET($R$3,0,0,'Données projet'!$E$9+1,1))-AVERAGE(OFFSET($H$3,0,0,'Données projet'!$E$9+1,1))</f>
        <v>289.01603252482897</v>
      </c>
      <c r="T67" s="59">
        <f t="shared" si="34"/>
        <v>233.84231920589906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45.147277778906577</v>
      </c>
      <c r="AA67" s="21">
        <f>EXP(-LN(2)/25)*AA66+(1-EXP(-LN(2)/25))/(LN(2)/25)*Calculateur!V67*Calculateur!X67*VLOOKUP('Données projet'!$B$9,Paramètres!$A$1:$I$89,3,0)*0.475*44/12</f>
        <v>18.411477948096795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63.558755727003373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222.99248400000016</v>
      </c>
      <c r="AK67" s="13">
        <f t="shared" si="35"/>
        <v>54.764775031234961</v>
      </c>
      <c r="AL67" s="20">
        <f t="shared" si="4"/>
        <v>483.76055947940108</v>
      </c>
      <c r="AM67" s="59">
        <f t="shared" si="5"/>
        <v>777.09389281273434</v>
      </c>
      <c r="AN67" s="59">
        <f ca="1">AVERAGE(OFFSET($AM$3,0,0,'Données projet'!$E$10+1,1))-AVERAGE(OFFSET($H$3,0,0,'Données projet'!$E$10+1,1))</f>
        <v>581.88778927327667</v>
      </c>
      <c r="AO67" s="59">
        <f t="shared" si="36"/>
        <v>269.67340993773422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12.233261824087835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12.233261824087835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249.9053700000002</v>
      </c>
      <c r="BF67" s="13">
        <f t="shared" si="37"/>
        <v>60.565676815620975</v>
      </c>
      <c r="BG67" s="20">
        <f t="shared" si="7"/>
        <v>540.73707320387359</v>
      </c>
      <c r="BH67" s="59">
        <f t="shared" si="8"/>
        <v>834.07040653720696</v>
      </c>
      <c r="BI67" s="59">
        <f ca="1">AVERAGE(OFFSET($BH$3,0,0,'Données projet'!$E$11+1,1))-AVERAGE(OFFSET($H$3,0,0,'Données projet'!$E$11+1,1))</f>
        <v>646.50767193970182</v>
      </c>
      <c r="BJ67" s="59">
        <f t="shared" si="38"/>
        <v>297.06786598620607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13.70968997527085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13.70968997527085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165.32201400000011</v>
      </c>
      <c r="CA67" s="13">
        <f t="shared" si="39"/>
        <v>42.040614964501643</v>
      </c>
      <c r="CB67" s="20">
        <f t="shared" si="10"/>
        <v>361.15657877984057</v>
      </c>
      <c r="CC67" s="59">
        <f t="shared" si="11"/>
        <v>654.48991211317389</v>
      </c>
      <c r="CD67" s="59">
        <f ca="1">AVERAGE(OFFSET($CC$3,0,0,'Données projet'!$E$12+1,1))-AVERAGE(OFFSET($H$3,0,0,'Données projet'!$E$12+1,1))</f>
        <v>442.85175349826028</v>
      </c>
      <c r="CE67" s="59">
        <f t="shared" si="40"/>
        <v>210.70697808232501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11.178670287528542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11.178670287528542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11.169166666666664</v>
      </c>
      <c r="N68" s="13">
        <f>IF('Données projet'!$A$36&gt;35,N67+M68-V67,IF(A68&lt;'Données projet'!$A$36,$K$205^A68,IF(A68='Données projet'!$A$36,'Données projet'!$B$36,N67+M68-V67)))</f>
        <v>277.76833333333332</v>
      </c>
      <c r="O68" s="13">
        <f>N68*VLOOKUP('Données projet'!$B$9,Paramètres!$A$1:$I$89,3,0)*VLOOKUP('Données projet'!$B$9,Paramètres!$A$1:$I$89,5,0)</f>
        <v>129.99557999999999</v>
      </c>
      <c r="P68" s="13">
        <f t="shared" si="33"/>
        <v>33.995337998103132</v>
      </c>
      <c r="Q68" s="20">
        <f t="shared" si="54"/>
        <v>285.61751551336295</v>
      </c>
      <c r="R68" s="59">
        <f t="shared" si="55"/>
        <v>578.95084884669632</v>
      </c>
      <c r="S68" s="59">
        <f ca="1">AVERAGE(OFFSET($R$3,0,0,'Données projet'!$E$9+1,1))-AVERAGE(OFFSET($H$3,0,0,'Données projet'!$E$9+1,1))</f>
        <v>289.01603252482897</v>
      </c>
      <c r="T68" s="59">
        <f t="shared" si="34"/>
        <v>233.84231920589906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44.2619671987826</v>
      </c>
      <c r="AA68" s="21">
        <f>EXP(-LN(2)/25)*AA67+(1-EXP(-LN(2)/25))/(LN(2)/25)*Calculateur!V68*Calculateur!X68*VLOOKUP('Données projet'!$B$9,Paramètres!$A$1:$I$89,3,0)*0.475*44/12</f>
        <v>17.908015115388544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62.169982314171143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231.36414600000015</v>
      </c>
      <c r="AK68" s="13">
        <f t="shared" si="35"/>
        <v>56.57754019728695</v>
      </c>
      <c r="AL68" s="20">
        <f t="shared" ref="AL68:AL131" si="58">(AJ68+AK68)*0.475*44/12</f>
        <v>501.49843679360833</v>
      </c>
      <c r="AM68" s="59">
        <f t="shared" ref="AM68:AM131" si="59">AL68+(AD68+AE68)*44/12</f>
        <v>794.83177012694159</v>
      </c>
      <c r="AN68" s="59">
        <f ca="1">AVERAGE(OFFSET($AM$3,0,0,'Données projet'!$E$10+1,1))-AVERAGE(OFFSET($H$3,0,0,'Données projet'!$E$10+1,1))</f>
        <v>581.88778927327667</v>
      </c>
      <c r="AO68" s="59">
        <f t="shared" si="36"/>
        <v>269.67340993773422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11.993375021270419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11.993375021270419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259.28740500000021</v>
      </c>
      <c r="BF68" s="13">
        <f t="shared" si="37"/>
        <v>62.570457244776364</v>
      </c>
      <c r="BG68" s="20">
        <f t="shared" ref="BG68:BG131" si="61">(BE68+BF68)*0.475*44/12</f>
        <v>560.56911007631913</v>
      </c>
      <c r="BH68" s="59">
        <f t="shared" ref="BH68:BH131" si="62">BG68+(AY68+AZ68)*44/12</f>
        <v>853.90244340965251</v>
      </c>
      <c r="BI68" s="59">
        <f ca="1">AVERAGE(OFFSET($BH$3,0,0,'Données projet'!$E$11+1,1))-AVERAGE(OFFSET($H$3,0,0,'Données projet'!$E$11+1,1))</f>
        <v>646.50767193970182</v>
      </c>
      <c r="BJ68" s="59">
        <f t="shared" si="38"/>
        <v>297.06786598620607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13.440851316940986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13.440851316940986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171.52859100000012</v>
      </c>
      <c r="CA68" s="13">
        <f t="shared" si="39"/>
        <v>43.43219855675752</v>
      </c>
      <c r="CB68" s="20">
        <f t="shared" ref="CB68:CB131" si="64">(BZ68+CA68)*0.475*44/12</f>
        <v>374.39004181135289</v>
      </c>
      <c r="CC68" s="59">
        <f t="shared" ref="CC68:CC131" si="65">CB68+(BT68+BU68)*44/12</f>
        <v>667.7233751446862</v>
      </c>
      <c r="CD68" s="59">
        <f ca="1">AVERAGE(OFFSET($CC$3,0,0,'Données projet'!$E$12+1,1))-AVERAGE(OFFSET($H$3,0,0,'Données projet'!$E$12+1,1))</f>
        <v>442.85175349826028</v>
      </c>
      <c r="CE68" s="59">
        <f t="shared" si="40"/>
        <v>210.70697808232501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10.95946338150573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10.95946338150573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11.169166666666664</v>
      </c>
      <c r="N69" s="13">
        <f>IF('Données projet'!$A$36&gt;35,N68+M69-V68,IF(A69&lt;'Données projet'!$A$36,$K$205^A69,IF(A69='Données projet'!$A$36,'Données projet'!$B$36,N68+M69-V68)))</f>
        <v>288.9375</v>
      </c>
      <c r="O69" s="13">
        <f>N69*VLOOKUP('Données projet'!$B$9,Paramètres!$A$1:$I$89,3,0)*VLOOKUP('Données projet'!$B$9,Paramètres!$A$1:$I$89,5,0)</f>
        <v>135.22274999999999</v>
      </c>
      <c r="P69" s="13">
        <f t="shared" ref="P69:P132" si="87">EXP(-1.0587+0.8836*LN(O69)+0.284)</f>
        <v>35.200403047414646</v>
      </c>
      <c r="Q69" s="20">
        <f t="shared" si="54"/>
        <v>296.82032489091381</v>
      </c>
      <c r="R69" s="59">
        <f t="shared" si="55"/>
        <v>590.15365822424712</v>
      </c>
      <c r="S69" s="59">
        <f ca="1">AVERAGE(OFFSET($R$3,0,0,'Données projet'!$E$9+1,1))-AVERAGE(OFFSET($H$3,0,0,'Données projet'!$E$9+1,1))</f>
        <v>289.01603252482897</v>
      </c>
      <c r="T69" s="59">
        <f t="shared" ref="T69:T132" si="88">$T$3</f>
        <v>233.84231920589906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43.39401701914872</v>
      </c>
      <c r="AA69" s="21">
        <f>EXP(-LN(2)/25)*AA68+(1-EXP(-LN(2)/25))/(LN(2)/25)*Calculateur!V69*Calculateur!X69*VLOOKUP('Données projet'!$B$9,Paramètres!$A$1:$I$89,3,0)*0.475*44/12</f>
        <v>17.41831950031666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60.812336519465376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239.73580800000011</v>
      </c>
      <c r="AK69" s="13">
        <f t="shared" ref="AK69:AK132" si="89">EXP(-1.0587+0.8836*LN(AJ69)+0.284)</f>
        <v>58.38268464325516</v>
      </c>
      <c r="AL69" s="20">
        <f t="shared" si="58"/>
        <v>519.22304135366949</v>
      </c>
      <c r="AM69" s="59">
        <f t="shared" si="59"/>
        <v>812.55637468700274</v>
      </c>
      <c r="AN69" s="59">
        <f ca="1">AVERAGE(OFFSET($AM$3,0,0,'Données projet'!$E$10+1,1))-AVERAGE(OFFSET($H$3,0,0,'Données projet'!$E$10+1,1))</f>
        <v>581.88778927327667</v>
      </c>
      <c r="AO69" s="59">
        <f t="shared" ref="AO69:AO132" si="90">$AO$3</f>
        <v>269.67340993773422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24.637928753319876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24.637928753319876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268.66944000000018</v>
      </c>
      <c r="BF69" s="13">
        <f t="shared" ref="BF69:BF132" si="91">EXP(-1.0587+0.8836*LN(BE69)+0.284)</f>
        <v>64.566809737006352</v>
      </c>
      <c r="BG69" s="20">
        <f t="shared" si="61"/>
        <v>580.38646829195295</v>
      </c>
      <c r="BH69" s="59">
        <f t="shared" si="62"/>
        <v>873.71980162528621</v>
      </c>
      <c r="BI69" s="59">
        <f ca="1">AVERAGE(OFFSET($BH$3,0,0,'Données projet'!$E$11+1,1))-AVERAGE(OFFSET($H$3,0,0,'Données projet'!$E$11+1,1))</f>
        <v>646.50767193970182</v>
      </c>
      <c r="BJ69" s="59">
        <f t="shared" ref="BJ69:BJ132" si="92">$BJ$3</f>
        <v>297.06786598620607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27.611471878720558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27.611471878720558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177.7351680000001</v>
      </c>
      <c r="CA69" s="13">
        <f t="shared" ref="CA69:CA132" si="93">EXP(-1.0587+0.8836*LN(BZ69)+0.284)</f>
        <v>44.817932042651918</v>
      </c>
      <c r="CB69" s="20">
        <f t="shared" si="64"/>
        <v>387.61331590761893</v>
      </c>
      <c r="CC69" s="59">
        <f t="shared" si="65"/>
        <v>680.94664924095218</v>
      </c>
      <c r="CD69" s="59">
        <f ca="1">AVERAGE(OFFSET($CC$3,0,0,'Données projet'!$E$12+1,1))-AVERAGE(OFFSET($H$3,0,0,'Données projet'!$E$12+1,1))</f>
        <v>442.85175349826028</v>
      </c>
      <c r="CE69" s="59">
        <f t="shared" ref="CE69:CE132" si="94">$CE$3</f>
        <v>210.70697808232501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0.318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22.513969378033686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22.513969378033686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11.169166666666664</v>
      </c>
      <c r="N70" s="13">
        <f>IF('Données projet'!$A$36&gt;35,N69+M70-V69,IF(A70&lt;'Données projet'!$A$36,$K$205^A70,IF(A70='Données projet'!$A$36,'Données projet'!$B$36,N69+M70-V69)))</f>
        <v>300.10666666666668</v>
      </c>
      <c r="O70" s="13">
        <f>N70*VLOOKUP('Données projet'!$B$9,Paramètres!$A$1:$I$89,3,0)*VLOOKUP('Données projet'!$B$9,Paramètres!$A$1:$I$89,5,0)</f>
        <v>140.44991999999999</v>
      </c>
      <c r="P70" s="13">
        <f t="shared" si="87"/>
        <v>36.400056593949301</v>
      </c>
      <c r="Q70" s="20">
        <f t="shared" si="54"/>
        <v>308.01370923446171</v>
      </c>
      <c r="R70" s="59">
        <f t="shared" si="55"/>
        <v>601.34704256779503</v>
      </c>
      <c r="S70" s="59">
        <f ca="1">AVERAGE(OFFSET($R$3,0,0,'Données projet'!$E$9+1,1))-AVERAGE(OFFSET($H$3,0,0,'Données projet'!$E$9+1,1))</f>
        <v>289.01603252482897</v>
      </c>
      <c r="T70" s="59">
        <f t="shared" si="88"/>
        <v>233.84231920589906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42.543086813140121</v>
      </c>
      <c r="AA70" s="21">
        <f>EXP(-LN(2)/25)*AA69+(1-EXP(-LN(2)/25))/(LN(2)/25)*Calculateur!V70*Calculateur!X70*VLOOKUP('Données projet'!$B$9,Paramètres!$A$1:$I$89,3,0)*0.475*44/12</f>
        <v>16.942014637590887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59.485101450731008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202.59942300000012</v>
      </c>
      <c r="AK70" s="13">
        <f t="shared" si="89"/>
        <v>50.315012169520465</v>
      </c>
      <c r="AL70" s="20">
        <f t="shared" si="58"/>
        <v>440.49264125358167</v>
      </c>
      <c r="AM70" s="59">
        <f t="shared" si="59"/>
        <v>733.82597458691498</v>
      </c>
      <c r="AN70" s="59">
        <f ca="1">AVERAGE(OFFSET($AM$3,0,0,'Données projet'!$E$10+1,1))-AVERAGE(OFFSET($H$3,0,0,'Données projet'!$E$10+1,1))</f>
        <v>581.88778927327667</v>
      </c>
      <c r="AO70" s="59">
        <f t="shared" si="90"/>
        <v>269.67340993773422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24.154793998119956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24.154793998119956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227.05107750000016</v>
      </c>
      <c r="BF70" s="13">
        <f t="shared" si="91"/>
        <v>55.644577455036639</v>
      </c>
      <c r="BG70" s="20">
        <f t="shared" si="61"/>
        <v>492.36159904668904</v>
      </c>
      <c r="BH70" s="59">
        <f t="shared" si="62"/>
        <v>785.69493238002235</v>
      </c>
      <c r="BI70" s="59">
        <f ca="1">AVERAGE(OFFSET($BH$3,0,0,'Données projet'!$E$11+1,1))-AVERAGE(OFFSET($H$3,0,0,'Données projet'!$E$11+1,1))</f>
        <v>646.50767193970182</v>
      </c>
      <c r="BJ70" s="59">
        <f t="shared" si="92"/>
        <v>297.06786598620607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27.070027756513749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27.070027756513749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150.20302050000009</v>
      </c>
      <c r="CA70" s="13">
        <f t="shared" si="93"/>
        <v>38.624719125506878</v>
      </c>
      <c r="CB70" s="20">
        <f t="shared" si="64"/>
        <v>328.87497984775797</v>
      </c>
      <c r="CC70" s="59">
        <f t="shared" si="65"/>
        <v>622.20831318109128</v>
      </c>
      <c r="CD70" s="59">
        <f ca="1">AVERAGE(OFFSET($CC$3,0,0,'Données projet'!$E$12+1,1))-AVERAGE(OFFSET($H$3,0,0,'Données projet'!$E$12+1,1))</f>
        <v>442.85175349826028</v>
      </c>
      <c r="CE70" s="59">
        <f t="shared" si="94"/>
        <v>210.70697808232501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22.072484170695827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22.072484170695827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11.169166666666664</v>
      </c>
      <c r="N71" s="13">
        <f>IF('Données projet'!$A$36&gt;35,N70+M71-V70,IF(A71&lt;'Données projet'!$A$36,$K$205^A71,IF(A71='Données projet'!$A$36,'Données projet'!$B$36,N70+M71-V70)))</f>
        <v>311.27583333333337</v>
      </c>
      <c r="O71" s="13">
        <f>N71*VLOOKUP('Données projet'!$B$9,Paramètres!$A$1:$I$89,3,0)*VLOOKUP('Données projet'!$B$9,Paramètres!$A$1:$I$89,5,0)</f>
        <v>145.67709000000002</v>
      </c>
      <c r="P71" s="13">
        <f t="shared" si="87"/>
        <v>37.594523101634472</v>
      </c>
      <c r="Q71" s="20">
        <f t="shared" si="54"/>
        <v>319.19805948534673</v>
      </c>
      <c r="R71" s="59">
        <f t="shared" si="55"/>
        <v>612.53139281868005</v>
      </c>
      <c r="S71" s="59">
        <f ca="1">AVERAGE(OFFSET($R$3,0,0,'Données projet'!$E$9+1,1))-AVERAGE(OFFSET($H$3,0,0,'Données projet'!$E$9+1,1))</f>
        <v>289.01603252482897</v>
      </c>
      <c r="T71" s="59">
        <f t="shared" si="88"/>
        <v>233.84231920589906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41.708842829455179</v>
      </c>
      <c r="AA71" s="21">
        <f>EXP(-LN(2)/25)*AA70+(1-EXP(-LN(2)/25))/(LN(2)/25)*Calculateur!V71*Calculateur!X71*VLOOKUP('Données projet'!$B$9,Paramètres!$A$1:$I$89,3,0)*0.475*44/12</f>
        <v>16.478734356384138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58.187577185839316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210.62160600000013</v>
      </c>
      <c r="AK71" s="13">
        <f t="shared" si="89"/>
        <v>52.071398873356536</v>
      </c>
      <c r="AL71" s="20">
        <f t="shared" si="58"/>
        <v>457.5236501544295</v>
      </c>
      <c r="AM71" s="59">
        <f t="shared" si="59"/>
        <v>750.85698348776282</v>
      </c>
      <c r="AN71" s="59">
        <f ca="1">AVERAGE(OFFSET($AM$3,0,0,'Données projet'!$E$10+1,1))-AVERAGE(OFFSET($H$3,0,0,'Données projet'!$E$10+1,1))</f>
        <v>581.88778927327667</v>
      </c>
      <c r="AO71" s="59">
        <f t="shared" si="90"/>
        <v>269.67340993773422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23.681133220786403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23.681133220786403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236.04145500000016</v>
      </c>
      <c r="BF71" s="13">
        <f t="shared" si="91"/>
        <v>57.587007592056594</v>
      </c>
      <c r="BG71" s="20">
        <f t="shared" si="61"/>
        <v>511.40290568116535</v>
      </c>
      <c r="BH71" s="59">
        <f t="shared" si="62"/>
        <v>804.73623901449866</v>
      </c>
      <c r="BI71" s="59">
        <f ca="1">AVERAGE(OFFSET($BH$3,0,0,'Données projet'!$E$11+1,1))-AVERAGE(OFFSET($H$3,0,0,'Données projet'!$E$11+1,1))</f>
        <v>646.50767193970182</v>
      </c>
      <c r="BJ71" s="59">
        <f t="shared" si="92"/>
        <v>297.06786598620607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26.53920102329511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26.53920102329511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156.15050100000011</v>
      </c>
      <c r="CA71" s="13">
        <f t="shared" si="93"/>
        <v>39.973023343001209</v>
      </c>
      <c r="CB71" s="20">
        <f t="shared" si="64"/>
        <v>341.58180489739397</v>
      </c>
      <c r="CC71" s="59">
        <f t="shared" si="65"/>
        <v>634.91513823072728</v>
      </c>
      <c r="CD71" s="59">
        <f ca="1">AVERAGE(OFFSET($CC$3,0,0,'Données projet'!$E$12+1,1))-AVERAGE(OFFSET($H$3,0,0,'Données projet'!$E$12+1,1))</f>
        <v>442.85175349826028</v>
      </c>
      <c r="CE71" s="59">
        <f t="shared" si="94"/>
        <v>210.70697808232501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21.639656218994475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21.639656218994475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11.169166666666664</v>
      </c>
      <c r="N72" s="13">
        <f>IF('Données projet'!$A$36&gt;35,N71+M72-V71,IF(A72&lt;'Données projet'!$A$36,$K$205^A72,IF(A72='Données projet'!$A$36,'Données projet'!$B$36,N71+M72-V71)))</f>
        <v>322.44500000000005</v>
      </c>
      <c r="O72" s="13">
        <f>N72*VLOOKUP('Données projet'!$B$9,Paramètres!$A$1:$I$89,3,0)*VLOOKUP('Données projet'!$B$9,Paramètres!$A$1:$I$89,5,0)</f>
        <v>150.90426000000002</v>
      </c>
      <c r="P72" s="13">
        <f t="shared" si="87"/>
        <v>38.78401001291909</v>
      </c>
      <c r="Q72" s="20">
        <f t="shared" si="54"/>
        <v>330.37373693916743</v>
      </c>
      <c r="R72" s="59">
        <f t="shared" si="55"/>
        <v>623.70707027250069</v>
      </c>
      <c r="S72" s="59">
        <f ca="1">AVERAGE(OFFSET($R$3,0,0,'Données projet'!$E$9+1,1))-AVERAGE(OFFSET($H$3,0,0,'Données projet'!$E$9+1,1))</f>
        <v>289.01603252482897</v>
      </c>
      <c r="T72" s="59">
        <f t="shared" si="88"/>
        <v>233.84231920589906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40.89095786145171</v>
      </c>
      <c r="AA72" s="21">
        <f>EXP(-LN(2)/25)*AA71+(1-EXP(-LN(2)/25))/(LN(2)/25)*Calculateur!V72*Calculateur!X72*VLOOKUP('Données projet'!$B$9,Paramètres!$A$1:$I$89,3,0)*0.475*44/12</f>
        <v>16.028122498829838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56.919080360281548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218.64378900000014</v>
      </c>
      <c r="AK72" s="13">
        <f t="shared" si="89"/>
        <v>53.820013961218514</v>
      </c>
      <c r="AL72" s="20">
        <f t="shared" si="58"/>
        <v>474.54112349078923</v>
      </c>
      <c r="AM72" s="59">
        <f t="shared" si="59"/>
        <v>767.87445682412249</v>
      </c>
      <c r="AN72" s="59">
        <f ca="1">AVERAGE(OFFSET($AM$3,0,0,'Données projet'!$E$10+1,1))-AVERAGE(OFFSET($H$3,0,0,'Données projet'!$E$10+1,1))</f>
        <v>581.88778927327667</v>
      </c>
      <c r="AO72" s="59">
        <f t="shared" si="90"/>
        <v>269.67340993773422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23.216760642391815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23.216760642391815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245.03183250000018</v>
      </c>
      <c r="BF72" s="13">
        <f t="shared" si="91"/>
        <v>59.520842912770703</v>
      </c>
      <c r="BG72" s="20">
        <f t="shared" si="61"/>
        <v>530.42924301057599</v>
      </c>
      <c r="BH72" s="59">
        <f t="shared" si="62"/>
        <v>823.76257634390936</v>
      </c>
      <c r="BI72" s="59">
        <f ca="1">AVERAGE(OFFSET($BH$3,0,0,'Données projet'!$E$11+1,1))-AVERAGE(OFFSET($H$3,0,0,'Données projet'!$E$11+1,1))</f>
        <v>646.50767193970182</v>
      </c>
      <c r="BJ72" s="59">
        <f t="shared" si="92"/>
        <v>297.06786598620607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26.018783478542552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26.018783478542552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162.09798150000009</v>
      </c>
      <c r="CA72" s="13">
        <f t="shared" si="93"/>
        <v>41.31536161770417</v>
      </c>
      <c r="CB72" s="20">
        <f t="shared" si="64"/>
        <v>354.27823926333485</v>
      </c>
      <c r="CC72" s="59">
        <f t="shared" si="65"/>
        <v>647.61157259666811</v>
      </c>
      <c r="CD72" s="59">
        <f ca="1">AVERAGE(OFFSET($CC$3,0,0,'Données projet'!$E$12+1,1))-AVERAGE(OFFSET($H$3,0,0,'Données projet'!$E$12+1,1))</f>
        <v>442.85175349826028</v>
      </c>
      <c r="CE72" s="59">
        <f t="shared" si="94"/>
        <v>210.70697808232501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21.215315759427003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21.215315759427003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11.169166666666664</v>
      </c>
      <c r="N73" s="13">
        <f>IF('Données projet'!$A$36&gt;35,N72+M73-V72,IF(A73&lt;'Données projet'!$A$36,$K$205^A73,IF(A73='Données projet'!$A$36,'Données projet'!$B$36,N72+M73-V72)))</f>
        <v>333.61416666666673</v>
      </c>
      <c r="O73" s="13">
        <f>N73*VLOOKUP('Données projet'!$B$9,Paramètres!$A$1:$I$89,3,0)*VLOOKUP('Données projet'!$B$9,Paramètres!$A$1:$I$89,5,0)</f>
        <v>156.13143000000002</v>
      </c>
      <c r="P73" s="13">
        <f t="shared" si="87"/>
        <v>39.968709584027991</v>
      </c>
      <c r="Q73" s="20">
        <f t="shared" si="54"/>
        <v>341.54107644218203</v>
      </c>
      <c r="R73" s="59">
        <f t="shared" si="55"/>
        <v>634.87440977551535</v>
      </c>
      <c r="S73" s="59">
        <f ca="1">AVERAGE(OFFSET($R$3,0,0,'Données projet'!$E$9+1,1))-AVERAGE(OFFSET($H$3,0,0,'Données projet'!$E$9+1,1))</f>
        <v>289.01603252482897</v>
      </c>
      <c r="T73" s="59">
        <f t="shared" si="88"/>
        <v>233.84231920589906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40.089111118810216</v>
      </c>
      <c r="AA73" s="21">
        <f>EXP(-LN(2)/25)*AA72+(1-EXP(-LN(2)/25))/(LN(2)/25)*Calculateur!V73*Calculateur!X73*VLOOKUP('Données projet'!$B$9,Paramètres!$A$1:$I$89,3,0)*0.475*44/12</f>
        <v>15.589832646217006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55.678943765027221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226.66597200000012</v>
      </c>
      <c r="AK73" s="13">
        <f t="shared" si="89"/>
        <v>55.561175235972904</v>
      </c>
      <c r="AL73" s="20">
        <f t="shared" si="58"/>
        <v>491.54561476931968</v>
      </c>
      <c r="AM73" s="59">
        <f t="shared" si="59"/>
        <v>784.878948102653</v>
      </c>
      <c r="AN73" s="59">
        <f ca="1">AVERAGE(OFFSET($AM$3,0,0,'Données projet'!$E$10+1,1))-AVERAGE(OFFSET($H$3,0,0,'Données projet'!$E$10+1,1))</f>
        <v>581.88778927327667</v>
      </c>
      <c r="AO73" s="59">
        <f t="shared" si="90"/>
        <v>269.67340993773422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22.761494127020239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22.761494127020239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254.02221000000017</v>
      </c>
      <c r="BF73" s="13">
        <f t="shared" si="91"/>
        <v>61.446434882983361</v>
      </c>
      <c r="BG73" s="20">
        <f t="shared" si="61"/>
        <v>549.44122317119627</v>
      </c>
      <c r="BH73" s="59">
        <f t="shared" si="62"/>
        <v>842.77455650452953</v>
      </c>
      <c r="BI73" s="59">
        <f ca="1">AVERAGE(OFFSET($BH$3,0,0,'Données projet'!$E$11+1,1))-AVERAGE(OFFSET($H$3,0,0,'Données projet'!$E$11+1,1))</f>
        <v>646.50767193970182</v>
      </c>
      <c r="BJ73" s="59">
        <f t="shared" si="92"/>
        <v>297.06786598620607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25.508571004419235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25.508571004419235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168.0454620000001</v>
      </c>
      <c r="CA73" s="13">
        <f t="shared" si="93"/>
        <v>42.651977913512944</v>
      </c>
      <c r="CB73" s="20">
        <f t="shared" si="64"/>
        <v>366.96470784936855</v>
      </c>
      <c r="CC73" s="59">
        <f t="shared" si="65"/>
        <v>660.29804118270181</v>
      </c>
      <c r="CD73" s="59">
        <f ca="1">AVERAGE(OFFSET($CC$3,0,0,'Données projet'!$E$12+1,1))-AVERAGE(OFFSET($H$3,0,0,'Données projet'!$E$12+1,1))</f>
        <v>442.85175349826028</v>
      </c>
      <c r="CE73" s="59">
        <f t="shared" si="94"/>
        <v>210.70697808232501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20.799296357449528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20.799296357449528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11.169166666666664</v>
      </c>
      <c r="N74" s="13">
        <f>IF('Données projet'!$A$36&gt;35,N73+M74-V73,IF(A74&lt;'Données projet'!$A$36,$K$205^A74,IF(A74='Données projet'!$A$36,'Données projet'!$B$36,N73+M74-V73)))</f>
        <v>344.78333333333342</v>
      </c>
      <c r="O74" s="13">
        <f>N74*VLOOKUP('Données projet'!$B$9,Paramètres!$A$1:$I$89,3,0)*VLOOKUP('Données projet'!$B$9,Paramètres!$A$1:$I$89,5,0)</f>
        <v>161.35860000000005</v>
      </c>
      <c r="P74" s="13">
        <f t="shared" si="87"/>
        <v>41.148800467540248</v>
      </c>
      <c r="Q74" s="20">
        <f t="shared" si="54"/>
        <v>352.70038914763268</v>
      </c>
      <c r="R74" s="59">
        <f t="shared" si="55"/>
        <v>646.03372248096593</v>
      </c>
      <c r="S74" s="59">
        <f ca="1">AVERAGE(OFFSET($R$3,0,0,'Données projet'!$E$9+1,1))-AVERAGE(OFFSET($H$3,0,0,'Données projet'!$E$9+1,1))</f>
        <v>289.01603252482897</v>
      </c>
      <c r="T74" s="59">
        <f t="shared" si="88"/>
        <v>233.84231920589906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39.302988101713701</v>
      </c>
      <c r="AA74" s="21">
        <f>EXP(-LN(2)/25)*AA73+(1-EXP(-LN(2)/25))/(LN(2)/25)*Calculateur!V74*Calculateur!X74*VLOOKUP('Données projet'!$B$9,Paramètres!$A$1:$I$89,3,0)*0.475*44/12</f>
        <v>15.163527852672535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54.466515954386239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234.68815500000011</v>
      </c>
      <c r="AK74" s="13">
        <f t="shared" si="89"/>
        <v>57.295176729679312</v>
      </c>
      <c r="AL74" s="20">
        <f t="shared" si="58"/>
        <v>508.53763609585832</v>
      </c>
      <c r="AM74" s="59">
        <f t="shared" si="59"/>
        <v>801.87096942919163</v>
      </c>
      <c r="AN74" s="59">
        <f ca="1">AVERAGE(OFFSET($AM$3,0,0,'Données projet'!$E$10+1,1))-AVERAGE(OFFSET($H$3,0,0,'Données projet'!$E$10+1,1))</f>
        <v>581.88778927327667</v>
      </c>
      <c r="AO74" s="59">
        <f t="shared" si="90"/>
        <v>269.67340993773422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22.315155110329943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22.315155110329943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263.01258750000017</v>
      </c>
      <c r="BF74" s="13">
        <f t="shared" si="91"/>
        <v>63.364108679793951</v>
      </c>
      <c r="BG74" s="20">
        <f t="shared" si="61"/>
        <v>568.43941251314141</v>
      </c>
      <c r="BH74" s="59">
        <f t="shared" si="62"/>
        <v>861.77274584647466</v>
      </c>
      <c r="BI74" s="59">
        <f ca="1">AVERAGE(OFFSET($BH$3,0,0,'Données projet'!$E$11+1,1))-AVERAGE(OFFSET($H$3,0,0,'Données projet'!$E$11+1,1))</f>
        <v>646.50767193970182</v>
      </c>
      <c r="BJ74" s="59">
        <f t="shared" si="92"/>
        <v>297.06786598620607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25.008363485714593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25.008363485714593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173.99294250000008</v>
      </c>
      <c r="CA74" s="13">
        <f t="shared" si="93"/>
        <v>43.983097946475816</v>
      </c>
      <c r="CB74" s="20">
        <f t="shared" si="64"/>
        <v>379.64160377761226</v>
      </c>
      <c r="CC74" s="59">
        <f t="shared" si="65"/>
        <v>672.97493711094558</v>
      </c>
      <c r="CD74" s="59">
        <f ca="1">AVERAGE(OFFSET($CC$3,0,0,'Données projet'!$E$12+1,1))-AVERAGE(OFFSET($H$3,0,0,'Données projet'!$E$12+1,1))</f>
        <v>442.85175349826028</v>
      </c>
      <c r="CE74" s="59">
        <f t="shared" si="94"/>
        <v>210.70697808232501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20.391434842198052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20.391434842198052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11.169166666666664</v>
      </c>
      <c r="N75" s="13">
        <f>IF('Données projet'!$A$36&gt;35,N74+M75-V74,IF(A75&lt;'Données projet'!$A$36,$K$205^A75,IF(A75='Données projet'!$A$36,'Données projet'!$B$36,N74+M75-V74)))</f>
        <v>355.9525000000001</v>
      </c>
      <c r="O75" s="13">
        <f>N75*VLOOKUP('Données projet'!$B$9,Paramètres!$A$1:$I$89,3,0)*VLOOKUP('Données projet'!$B$9,Paramètres!$A$1:$I$89,5,0)</f>
        <v>166.58577000000002</v>
      </c>
      <c r="P75" s="13">
        <f t="shared" si="87"/>
        <v>42.324449084137981</v>
      </c>
      <c r="Q75" s="20">
        <f t="shared" si="54"/>
        <v>363.85196490487368</v>
      </c>
      <c r="R75" s="59">
        <f t="shared" si="55"/>
        <v>657.185298238207</v>
      </c>
      <c r="S75" s="59">
        <f ca="1">AVERAGE(OFFSET($R$3,0,0,'Données projet'!$E$9+1,1))-AVERAGE(OFFSET($H$3,0,0,'Données projet'!$E$9+1,1))</f>
        <v>289.01603252482897</v>
      </c>
      <c r="T75" s="59">
        <f t="shared" si="88"/>
        <v>233.84231920589906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38.532280477494751</v>
      </c>
      <c r="AA75" s="21">
        <f>EXP(-LN(2)/25)*AA74+(1-EXP(-LN(2)/25))/(LN(2)/25)*Calculateur!V75*Calculateur!X75*VLOOKUP('Données projet'!$B$9,Paramètres!$A$1:$I$89,3,0)*0.475*44/12</f>
        <v>14.748880386125933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53.281160863620684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242.71033800000009</v>
      </c>
      <c r="AK75" s="13">
        <f t="shared" si="89"/>
        <v>59.022291232778812</v>
      </c>
      <c r="AL75" s="20">
        <f t="shared" si="58"/>
        <v>525.51766258042323</v>
      </c>
      <c r="AM75" s="59">
        <f t="shared" si="59"/>
        <v>818.85099591375661</v>
      </c>
      <c r="AN75" s="59">
        <f ca="1">AVERAGE(OFFSET($AM$3,0,0,'Données projet'!$E$10+1,1))-AVERAGE(OFFSET($H$3,0,0,'Données projet'!$E$10+1,1))</f>
        <v>581.88778927327667</v>
      </c>
      <c r="AO75" s="59">
        <f t="shared" si="90"/>
        <v>269.67340993773422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21.877568529517024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21.877568529517024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272.00296500000013</v>
      </c>
      <c r="BF75" s="13">
        <f t="shared" si="91"/>
        <v>65.274165988687102</v>
      </c>
      <c r="BG75" s="20">
        <f t="shared" si="61"/>
        <v>587.42433647196356</v>
      </c>
      <c r="BH75" s="59">
        <f t="shared" si="62"/>
        <v>880.75766980529693</v>
      </c>
      <c r="BI75" s="59">
        <f ca="1">AVERAGE(OFFSET($BH$3,0,0,'Données projet'!$E$11+1,1))-AVERAGE(OFFSET($H$3,0,0,'Données projet'!$E$11+1,1))</f>
        <v>646.50767193970182</v>
      </c>
      <c r="BJ75" s="59">
        <f t="shared" si="92"/>
        <v>297.06786598620607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24.517964731355288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24.517964731355288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179.9404230000001</v>
      </c>
      <c r="CA75" s="13">
        <f t="shared" si="93"/>
        <v>45.308931126343715</v>
      </c>
      <c r="CB75" s="20">
        <f t="shared" si="64"/>
        <v>392.30929177004873</v>
      </c>
      <c r="CC75" s="59">
        <f t="shared" si="65"/>
        <v>685.64262510338199</v>
      </c>
      <c r="CD75" s="59">
        <f ca="1">AVERAGE(OFFSET($CC$3,0,0,'Données projet'!$E$12+1,1))-AVERAGE(OFFSET($H$3,0,0,'Données projet'!$E$12+1,1))</f>
        <v>442.85175349826028</v>
      </c>
      <c r="CE75" s="59">
        <f t="shared" si="94"/>
        <v>210.70697808232501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19.991571242489695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19.991571242489695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11.169166666666664</v>
      </c>
      <c r="N76" s="13">
        <f>IF('Données projet'!$A$36&gt;35,N75+M76-V75,IF(A76&lt;'Données projet'!$A$36,$K$205^A76,IF(A76='Données projet'!$A$36,'Données projet'!$B$36,N75+M76-V75)))</f>
        <v>367.12166666666678</v>
      </c>
      <c r="O76" s="13">
        <f>N76*VLOOKUP('Données projet'!$B$9,Paramètres!$A$1:$I$89,3,0)*VLOOKUP('Données projet'!$B$9,Paramètres!$A$1:$I$89,5,0)</f>
        <v>171.81294000000005</v>
      </c>
      <c r="P76" s="13">
        <f t="shared" si="87"/>
        <v>43.495810817346396</v>
      </c>
      <c r="Q76" s="20">
        <f t="shared" si="54"/>
        <v>374.99607434021169</v>
      </c>
      <c r="R76" s="59">
        <f t="shared" si="55"/>
        <v>668.32940767354501</v>
      </c>
      <c r="S76" s="59">
        <f ca="1">AVERAGE(OFFSET($R$3,0,0,'Données projet'!$E$9+1,1))-AVERAGE(OFFSET($H$3,0,0,'Données projet'!$E$9+1,1))</f>
        <v>289.01603252482897</v>
      </c>
      <c r="T76" s="59">
        <f t="shared" si="88"/>
        <v>233.84231920589906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37.776685959701503</v>
      </c>
      <c r="AA76" s="21">
        <f>EXP(-LN(2)/25)*AA75+(1-EXP(-LN(2)/25))/(LN(2)/25)*Calculateur!V76*Calculateur!X76*VLOOKUP('Données projet'!$B$9,Paramètres!$A$1:$I$89,3,0)*0.475*44/12</f>
        <v>14.345571476357408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52.122257436058909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250.73252100000005</v>
      </c>
      <c r="AK76" s="13">
        <f t="shared" si="89"/>
        <v>60.74277247950485</v>
      </c>
      <c r="AL76" s="20">
        <f t="shared" si="58"/>
        <v>542.48613614347107</v>
      </c>
      <c r="AM76" s="59">
        <f t="shared" si="59"/>
        <v>835.81946947680444</v>
      </c>
      <c r="AN76" s="59">
        <f ca="1">AVERAGE(OFFSET($AM$3,0,0,'Données projet'!$E$10+1,1))-AVERAGE(OFFSET($H$3,0,0,'Données projet'!$E$10+1,1))</f>
        <v>581.88778927327667</v>
      </c>
      <c r="AO76" s="59">
        <f t="shared" si="90"/>
        <v>269.67340993773422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21.448562754652389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21.448562754652389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280.9933425000001</v>
      </c>
      <c r="BF76" s="13">
        <f t="shared" si="91"/>
        <v>67.176887420430603</v>
      </c>
      <c r="BG76" s="20">
        <f t="shared" si="61"/>
        <v>606.39648377808339</v>
      </c>
      <c r="BH76" s="59">
        <f t="shared" si="62"/>
        <v>899.72981711141665</v>
      </c>
      <c r="BI76" s="59">
        <f ca="1">AVERAGE(OFFSET($BH$3,0,0,'Données projet'!$E$11+1,1))-AVERAGE(OFFSET($H$3,0,0,'Données projet'!$E$11+1,1))</f>
        <v>646.50767193970182</v>
      </c>
      <c r="BJ76" s="59">
        <f t="shared" si="92"/>
        <v>297.06786598620607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24.037182397455265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24.037182397455265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185.88790350000008</v>
      </c>
      <c r="CA76" s="13">
        <f t="shared" si="93"/>
        <v>46.62967223421829</v>
      </c>
      <c r="CB76" s="20">
        <f t="shared" si="64"/>
        <v>404.96811107043033</v>
      </c>
      <c r="CC76" s="59">
        <f t="shared" si="65"/>
        <v>698.30144440376364</v>
      </c>
      <c r="CD76" s="59">
        <f ca="1">AVERAGE(OFFSET($CC$3,0,0,'Données projet'!$E$12+1,1))-AVERAGE(OFFSET($H$3,0,0,'Données projet'!$E$12+1,1))</f>
        <v>442.85175349826028</v>
      </c>
      <c r="CE76" s="59">
        <f t="shared" si="94"/>
        <v>210.70697808232501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19.599548724078907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19.599548724078907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11.169166666666664</v>
      </c>
      <c r="N77" s="13">
        <f>IF('Données projet'!$A$36&gt;35,N76+M77-V76,IF(A77&lt;'Données projet'!$A$36,$K$205^A77,IF(A77='Données projet'!$A$36,'Données projet'!$B$36,N76+M77-V76)))</f>
        <v>378.29083333333347</v>
      </c>
      <c r="O77" s="13">
        <f>N77*VLOOKUP('Données projet'!$B$9,Paramètres!$A$1:$I$89,3,0)*VLOOKUP('Données projet'!$B$9,Paramètres!$A$1:$I$89,5,0)</f>
        <v>177.04011000000008</v>
      </c>
      <c r="P77" s="13">
        <f t="shared" si="87"/>
        <v>44.663031058795241</v>
      </c>
      <c r="Q77" s="20">
        <f t="shared" si="54"/>
        <v>386.13297067740183</v>
      </c>
      <c r="R77" s="59">
        <f t="shared" si="55"/>
        <v>679.46630401073514</v>
      </c>
      <c r="S77" s="59">
        <f ca="1">AVERAGE(OFFSET($R$3,0,0,'Données projet'!$E$9+1,1))-AVERAGE(OFFSET($H$3,0,0,'Données projet'!$E$9+1,1))</f>
        <v>289.01603252482897</v>
      </c>
      <c r="T77" s="59">
        <f t="shared" si="88"/>
        <v>233.84231920589906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37.035908189535036</v>
      </c>
      <c r="AA77" s="21">
        <f>EXP(-LN(2)/25)*AA76+(1-EXP(-LN(2)/25))/(LN(2)/25)*Calculateur!V77*Calculateur!X77*VLOOKUP('Données projet'!$B$9,Paramètres!$A$1:$I$89,3,0)*0.475*44/12</f>
        <v>13.953291069935599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50.989199259470638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258.75470400000006</v>
      </c>
      <c r="AK77" s="13">
        <f t="shared" si="89"/>
        <v>62.456857045748947</v>
      </c>
      <c r="AL77" s="20">
        <f t="shared" si="58"/>
        <v>559.4434688213463</v>
      </c>
      <c r="AM77" s="59">
        <f t="shared" si="59"/>
        <v>852.77680215467967</v>
      </c>
      <c r="AN77" s="59">
        <f ca="1">AVERAGE(OFFSET($AM$3,0,0,'Données projet'!$E$10+1,1))-AVERAGE(OFFSET($H$3,0,0,'Données projet'!$E$10+1,1))</f>
        <v>581.88778927327667</v>
      </c>
      <c r="AO77" s="59">
        <f t="shared" si="90"/>
        <v>269.67340993773422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33.259977338364926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33.259977338364926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289.98372000000012</v>
      </c>
      <c r="BF77" s="13">
        <f t="shared" si="91"/>
        <v>69.072534609971271</v>
      </c>
      <c r="BG77" s="20">
        <f t="shared" si="61"/>
        <v>625.35631011236683</v>
      </c>
      <c r="BH77" s="59">
        <f t="shared" si="62"/>
        <v>918.68964344570009</v>
      </c>
      <c r="BI77" s="59">
        <f ca="1">AVERAGE(OFFSET($BH$3,0,0,'Données projet'!$E$11+1,1))-AVERAGE(OFFSET($H$3,0,0,'Données projet'!$E$11+1,1))</f>
        <v>646.50767193970182</v>
      </c>
      <c r="BJ77" s="59">
        <f t="shared" si="92"/>
        <v>297.06786598620607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37.274112534374488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37.274112534374488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191.83538400000006</v>
      </c>
      <c r="CA77" s="13">
        <f t="shared" si="93"/>
        <v>47.945502879463582</v>
      </c>
      <c r="CB77" s="20">
        <f t="shared" si="64"/>
        <v>417.61837798173246</v>
      </c>
      <c r="CC77" s="59">
        <f t="shared" si="65"/>
        <v>710.95171131506572</v>
      </c>
      <c r="CD77" s="59">
        <f ca="1">AVERAGE(OFFSET($CC$3,0,0,'Données projet'!$E$12+1,1))-AVERAGE(OFFSET($H$3,0,0,'Données projet'!$E$12+1,1))</f>
        <v>442.85175349826028</v>
      </c>
      <c r="CE77" s="59">
        <f t="shared" si="94"/>
        <v>210.70697808232501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0.318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30.392737912643813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30.392737912643813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389.46</v>
      </c>
      <c r="L78" s="12">
        <f>VLOOKUP(A78,'Données projet'!$A$35:$I$55,9,0)</f>
        <v>11.169166666666664</v>
      </c>
      <c r="M78" s="12">
        <f t="array" ref="M78">INDEX(L:L,MIN(IF(ISNUMBER(L78:L274),ROW(L78:L274),"")))</f>
        <v>11.169166666666664</v>
      </c>
      <c r="N78" s="13">
        <f>IF('Données projet'!$A$36&gt;35,N77+M78-V77,IF(A78&lt;'Données projet'!$A$36,$K$205^A78,IF(A78='Données projet'!$A$36,'Données projet'!$B$36,N77+M78-V77)))</f>
        <v>389.46000000000015</v>
      </c>
      <c r="O78" s="13">
        <f>N78*VLOOKUP('Données projet'!$B$9,Paramètres!$A$1:$I$89,3,0)*VLOOKUP('Données projet'!$B$9,Paramètres!$A$1:$I$89,5,0)</f>
        <v>182.26728000000008</v>
      </c>
      <c r="P78" s="13">
        <f t="shared" si="87"/>
        <v>45.82624612656528</v>
      </c>
      <c r="Q78" s="20">
        <f t="shared" si="54"/>
        <v>397.26289133710134</v>
      </c>
      <c r="R78" s="59">
        <f t="shared" si="55"/>
        <v>690.59622467043459</v>
      </c>
      <c r="S78" s="59">
        <f ca="1">AVERAGE(OFFSET($R$3,0,0,'Données projet'!$E$9+1,1))-AVERAGE(OFFSET($H$3,0,0,'Données projet'!$E$9+1,1))</f>
        <v>289.01603252482897</v>
      </c>
      <c r="T78" s="59">
        <f t="shared" si="88"/>
        <v>233.84231920589906</v>
      </c>
      <c r="U78" s="15">
        <f>IF(ISNA(VLOOKUP(A78,'Données projet'!$A$35:$I$55,3,0)),0,VLOOKUP(A78,'Données projet'!$A$35:$I$55,3,0))</f>
        <v>3</v>
      </c>
      <c r="V78" s="15">
        <f>IF(ISNA(VLOOKUP(A78,'Données projet'!$A$35:$I$55,4,0)),0,VLOOKUP(A78,'Données projet'!$A$35:$I$55,4,0))</f>
        <v>92.44</v>
      </c>
      <c r="W78" s="16">
        <f>IF(ISNA(VLOOKUP(A78,'Données projet'!$A$35:$I$55,5,0)),0%,VLOOKUP(A78,'Données projet'!$A$35:$I$55,5,0)*VLOOKUP('Données projet'!$B$9,Paramètres!$A$1:$I$89,7,0))</f>
        <v>0.38500000000000001</v>
      </c>
      <c r="X78" s="16">
        <f>IF(ISNA(VLOOKUP(A78,'Données projet'!$A$35:$I$55,6,0)),0%,VLOOKUP(A78,'Données projet'!$A$35:$I$55,6,0)*VLOOKUP('Données projet'!$B$9,Paramètres!$A$1:$I$89,7,0))</f>
        <v>0.16500000000000001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58.404700877848242</v>
      </c>
      <c r="AA78" s="21">
        <f>EXP(-LN(2)/25)*AA77+(1-EXP(-LN(2)/25))/(LN(2)/25)*Calculateur!V78*Calculateur!X78*VLOOKUP('Données projet'!$B$9,Paramètres!$A$1:$I$89,3,0)*0.475*44/12</f>
        <v>23.003758013336515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81.40845889118475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223.71813360000007</v>
      </c>
      <c r="AK78" s="13">
        <f t="shared" si="89"/>
        <v>54.92221376571495</v>
      </c>
      <c r="AL78" s="20">
        <f t="shared" si="58"/>
        <v>485.29860499528695</v>
      </c>
      <c r="AM78" s="59">
        <f t="shared" si="59"/>
        <v>778.63193832862021</v>
      </c>
      <c r="AN78" s="59">
        <f ca="1">AVERAGE(OFFSET($AM$3,0,0,'Données projet'!$E$10+1,1))-AVERAGE(OFFSET($H$3,0,0,'Données projet'!$E$10+1,1))</f>
        <v>581.88778927327667</v>
      </c>
      <c r="AO78" s="59">
        <f t="shared" si="90"/>
        <v>269.67340993773422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32.607769469342635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32.607769469342635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250.7185980000001</v>
      </c>
      <c r="BF78" s="13">
        <f t="shared" si="91"/>
        <v>60.739792084155006</v>
      </c>
      <c r="BG78" s="20">
        <f t="shared" si="61"/>
        <v>542.45669606323679</v>
      </c>
      <c r="BH78" s="59">
        <f t="shared" si="62"/>
        <v>835.79002939657016</v>
      </c>
      <c r="BI78" s="59">
        <f ca="1">AVERAGE(OFFSET($BH$3,0,0,'Données projet'!$E$11+1,1))-AVERAGE(OFFSET($H$3,0,0,'Données projet'!$E$11+1,1))</f>
        <v>646.50767193970182</v>
      </c>
      <c r="BJ78" s="59">
        <f t="shared" si="92"/>
        <v>297.06786598620607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36.543189922539156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36.543189922539156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165.85999560000008</v>
      </c>
      <c r="CA78" s="13">
        <f t="shared" si="93"/>
        <v>42.161474060754607</v>
      </c>
      <c r="CB78" s="20">
        <f t="shared" si="64"/>
        <v>362.3040596591477</v>
      </c>
      <c r="CC78" s="59">
        <f t="shared" si="65"/>
        <v>655.63739299248095</v>
      </c>
      <c r="CD78" s="59">
        <f ca="1">AVERAGE(OFFSET($CC$3,0,0,'Données projet'!$E$12+1,1))-AVERAGE(OFFSET($H$3,0,0,'Données projet'!$E$12+1,1))</f>
        <v>442.85175349826028</v>
      </c>
      <c r="CE78" s="59">
        <f t="shared" si="94"/>
        <v>210.70697808232501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29.796754859916547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29.796754859916547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10.26166666666667</v>
      </c>
      <c r="N79" s="13">
        <f>IF('Données projet'!$A$36&gt;35,N78+M79-V78,IF(A79&lt;'Données projet'!$A$36,$K$205^A79,IF(A79='Données projet'!$A$36,'Données projet'!$B$36,N78+M79-V78)))</f>
        <v>307.28166666666681</v>
      </c>
      <c r="O79" s="13">
        <f>N79*VLOOKUP('Données projet'!$B$9,Paramètres!$A$1:$I$89,3,0)*VLOOKUP('Données projet'!$B$9,Paramètres!$A$1:$I$89,5,0)</f>
        <v>143.80782000000008</v>
      </c>
      <c r="P79" s="13">
        <f t="shared" si="87"/>
        <v>37.167956515233485</v>
      </c>
      <c r="Q79" s="20">
        <f t="shared" si="54"/>
        <v>315.19947743069849</v>
      </c>
      <c r="R79" s="59">
        <f t="shared" si="55"/>
        <v>608.53281076403186</v>
      </c>
      <c r="S79" s="59">
        <f ca="1">AVERAGE(OFFSET($R$3,0,0,'Données projet'!$E$9+1,1))-AVERAGE(OFFSET($H$3,0,0,'Données projet'!$E$9+1,1))</f>
        <v>289.01603252482897</v>
      </c>
      <c r="T79" s="59">
        <f t="shared" si="88"/>
        <v>233.84231920589906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57.259420316983658</v>
      </c>
      <c r="AA79" s="21">
        <f>EXP(-LN(2)/25)*AA78+(1-EXP(-LN(2)/25))/(LN(2)/25)*Calculateur!V79*Calculateur!X79*VLOOKUP('Données projet'!$B$9,Paramètres!$A$1:$I$89,3,0)*0.475*44/12</f>
        <v>22.374719040746772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79.634139357730433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231.56908320000005</v>
      </c>
      <c r="AK79" s="13">
        <f t="shared" si="89"/>
        <v>56.621819638037671</v>
      </c>
      <c r="AL79" s="20">
        <f t="shared" si="58"/>
        <v>501.93248910958238</v>
      </c>
      <c r="AM79" s="59">
        <f t="shared" si="59"/>
        <v>795.26582244291569</v>
      </c>
      <c r="AN79" s="59">
        <f ca="1">AVERAGE(OFFSET($AM$3,0,0,'Données projet'!$E$10+1,1))-AVERAGE(OFFSET($H$3,0,0,'Données projet'!$E$10+1,1))</f>
        <v>581.88778927327667</v>
      </c>
      <c r="AO79" s="59">
        <f t="shared" si="90"/>
        <v>269.67340993773422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31.968350998824349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31.968350998824349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259.51707600000009</v>
      </c>
      <c r="BF79" s="13">
        <f t="shared" si="91"/>
        <v>62.619426939193161</v>
      </c>
      <c r="BG79" s="20">
        <f t="shared" si="61"/>
        <v>561.05440928576149</v>
      </c>
      <c r="BH79" s="59">
        <f t="shared" si="62"/>
        <v>854.38774261909475</v>
      </c>
      <c r="BI79" s="59">
        <f ca="1">AVERAGE(OFFSET($BH$3,0,0,'Données projet'!$E$11+1,1))-AVERAGE(OFFSET($H$3,0,0,'Données projet'!$E$11+1,1))</f>
        <v>646.50767193970182</v>
      </c>
      <c r="BJ79" s="59">
        <f t="shared" si="92"/>
        <v>297.06786598620607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35.826600257303149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35.826600257303149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171.68052720000006</v>
      </c>
      <c r="CA79" s="13">
        <f t="shared" si="93"/>
        <v>43.46619002149712</v>
      </c>
      <c r="CB79" s="20">
        <f t="shared" si="64"/>
        <v>374.71386582744088</v>
      </c>
      <c r="CC79" s="59">
        <f t="shared" si="65"/>
        <v>668.0471991607742</v>
      </c>
      <c r="CD79" s="59">
        <f ca="1">AVERAGE(OFFSET($CC$3,0,0,'Données projet'!$E$12+1,1))-AVERAGE(OFFSET($H$3,0,0,'Données projet'!$E$12+1,1))</f>
        <v>442.85175349826028</v>
      </c>
      <c r="CE79" s="59">
        <f t="shared" si="94"/>
        <v>210.70697808232501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29.21245867133949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29.21245867133949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10.26166666666667</v>
      </c>
      <c r="N80" s="13">
        <f>IF('Données projet'!$A$36&gt;35,N79+M80-V79,IF(A80&lt;'Données projet'!$A$36,$K$205^A80,IF(A80='Données projet'!$A$36,'Données projet'!$B$36,N79+M80-V79)))</f>
        <v>317.54333333333346</v>
      </c>
      <c r="O80" s="13">
        <f>N80*VLOOKUP('Données projet'!$B$9,Paramètres!$A$1:$I$89,3,0)*VLOOKUP('Données projet'!$B$9,Paramètres!$A$1:$I$89,5,0)</f>
        <v>148.61028000000007</v>
      </c>
      <c r="P80" s="13">
        <f t="shared" si="87"/>
        <v>38.262595880895944</v>
      </c>
      <c r="Q80" s="20">
        <f t="shared" si="54"/>
        <v>325.47025882589389</v>
      </c>
      <c r="R80" s="59">
        <f t="shared" si="55"/>
        <v>618.80359215922726</v>
      </c>
      <c r="S80" s="59">
        <f ca="1">AVERAGE(OFFSET($R$3,0,0,'Données projet'!$E$9+1,1))-AVERAGE(OFFSET($H$3,0,0,'Données projet'!$E$9+1,1))</f>
        <v>289.01603252482897</v>
      </c>
      <c r="T80" s="59">
        <f t="shared" si="88"/>
        <v>233.84231920589906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56.136598009365464</v>
      </c>
      <c r="AA80" s="21">
        <f>EXP(-LN(2)/25)*AA79+(1-EXP(-LN(2)/25))/(LN(2)/25)*Calculateur!V80*Calculateur!X80*VLOOKUP('Données projet'!$B$9,Paramètres!$A$1:$I$89,3,0)*0.475*44/12</f>
        <v>21.762881171942215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77.899479181307683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239.42003280000009</v>
      </c>
      <c r="AK80" s="13">
        <f t="shared" si="89"/>
        <v>58.314730148380967</v>
      </c>
      <c r="AL80" s="20">
        <f t="shared" si="58"/>
        <v>518.55471213509702</v>
      </c>
      <c r="AM80" s="59">
        <f t="shared" si="59"/>
        <v>811.88804546843039</v>
      </c>
      <c r="AN80" s="59">
        <f ca="1">AVERAGE(OFFSET($AM$3,0,0,'Données projet'!$E$10+1,1))-AVERAGE(OFFSET($H$3,0,0,'Données projet'!$E$10+1,1))</f>
        <v>581.88778927327667</v>
      </c>
      <c r="AO80" s="59">
        <f t="shared" si="90"/>
        <v>269.67340993773422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31.341471134506168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31.341471134506168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268.31555400000013</v>
      </c>
      <c r="BF80" s="13">
        <f t="shared" si="91"/>
        <v>64.491657233004062</v>
      </c>
      <c r="BG80" s="20">
        <f t="shared" si="61"/>
        <v>579.63922623081567</v>
      </c>
      <c r="BH80" s="59">
        <f t="shared" si="62"/>
        <v>872.97255956414892</v>
      </c>
      <c r="BI80" s="59">
        <f ca="1">AVERAGE(OFFSET($BH$3,0,0,'Données projet'!$E$11+1,1))-AVERAGE(OFFSET($H$3,0,0,'Données projet'!$E$11+1,1))</f>
        <v>646.50767193970182</v>
      </c>
      <c r="BJ80" s="59">
        <f t="shared" si="92"/>
        <v>297.06786598620607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35.124062478325875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35.124062478325875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177.50105880000007</v>
      </c>
      <c r="CA80" s="13">
        <f t="shared" si="93"/>
        <v>44.765766234384074</v>
      </c>
      <c r="CB80" s="20">
        <f t="shared" si="64"/>
        <v>387.11472026821906</v>
      </c>
      <c r="CC80" s="59">
        <f t="shared" si="65"/>
        <v>680.44805360155237</v>
      </c>
      <c r="CD80" s="59">
        <f ca="1">AVERAGE(OFFSET($CC$3,0,0,'Données projet'!$E$12+1,1))-AVERAGE(OFFSET($H$3,0,0,'Données projet'!$E$12+1,1))</f>
        <v>442.85175349826028</v>
      </c>
      <c r="CE80" s="59">
        <f t="shared" si="94"/>
        <v>210.70697808232501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28.639620174634945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28.639620174634945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10.26166666666667</v>
      </c>
      <c r="N81" s="13">
        <f>IF('Données projet'!$A$36&gt;35,N80+M81-V80,IF(A81&lt;'Données projet'!$A$36,$K$205^A81,IF(A81='Données projet'!$A$36,'Données projet'!$B$36,N80+M81-V80)))</f>
        <v>327.80500000000012</v>
      </c>
      <c r="O81" s="13">
        <f>N81*VLOOKUP('Données projet'!$B$9,Paramètres!$A$1:$I$89,3,0)*VLOOKUP('Données projet'!$B$9,Paramètres!$A$1:$I$89,5,0)</f>
        <v>153.41274000000007</v>
      </c>
      <c r="P81" s="13">
        <f t="shared" si="87"/>
        <v>39.3531246745872</v>
      </c>
      <c r="Q81" s="20">
        <f t="shared" si="54"/>
        <v>335.73388097490619</v>
      </c>
      <c r="R81" s="59">
        <f t="shared" si="55"/>
        <v>629.0672143082395</v>
      </c>
      <c r="S81" s="59">
        <f ca="1">AVERAGE(OFFSET($R$3,0,0,'Données projet'!$E$9+1,1))-AVERAGE(OFFSET($H$3,0,0,'Données projet'!$E$9+1,1))</f>
        <v>289.01603252482897</v>
      </c>
      <c r="T81" s="59">
        <f t="shared" si="88"/>
        <v>233.84231920589906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55.035793562345681</v>
      </c>
      <c r="AA81" s="21">
        <f>EXP(-LN(2)/25)*AA80+(1-EXP(-LN(2)/25))/(LN(2)/25)*Calculateur!V81*Calculateur!X81*VLOOKUP('Données projet'!$B$9,Paramètres!$A$1:$I$89,3,0)*0.475*44/12</f>
        <v>21.167774041835273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76.203567604180961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247.27098240000012</v>
      </c>
      <c r="AK81" s="13">
        <f t="shared" si="89"/>
        <v>60.001190025553029</v>
      </c>
      <c r="AL81" s="20">
        <f t="shared" si="58"/>
        <v>535.16570030783839</v>
      </c>
      <c r="AM81" s="59">
        <f t="shared" si="59"/>
        <v>828.49903364117176</v>
      </c>
      <c r="AN81" s="59">
        <f ca="1">AVERAGE(OFFSET($AM$3,0,0,'Données projet'!$E$10+1,1))-AVERAGE(OFFSET($H$3,0,0,'Données projet'!$E$10+1,1))</f>
        <v>581.88778927327667</v>
      </c>
      <c r="AO81" s="59">
        <f t="shared" si="90"/>
        <v>269.67340993773422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30.726884001968305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30.726884001968305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277.11403200000018</v>
      </c>
      <c r="BF81" s="13">
        <f t="shared" si="91"/>
        <v>66.356753617040368</v>
      </c>
      <c r="BG81" s="20">
        <f t="shared" si="61"/>
        <v>598.21161828301217</v>
      </c>
      <c r="BH81" s="59">
        <f t="shared" si="62"/>
        <v>891.54495161634554</v>
      </c>
      <c r="BI81" s="59">
        <f ca="1">AVERAGE(OFFSET($BH$3,0,0,'Données projet'!$E$11+1,1))-AVERAGE(OFFSET($H$3,0,0,'Données projet'!$E$11+1,1))</f>
        <v>646.50767193970182</v>
      </c>
      <c r="BJ81" s="59">
        <f t="shared" si="92"/>
        <v>297.06786598620607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34.435301036688614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34.435301036688614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183.3215904000001</v>
      </c>
      <c r="CA81" s="13">
        <f t="shared" si="93"/>
        <v>46.060390567430886</v>
      </c>
      <c r="CB81" s="20">
        <f t="shared" si="64"/>
        <v>399.5069501849423</v>
      </c>
      <c r="CC81" s="59">
        <f t="shared" si="65"/>
        <v>692.84028351827556</v>
      </c>
      <c r="CD81" s="59">
        <f ca="1">AVERAGE(OFFSET($CC$3,0,0,'Données projet'!$E$12+1,1))-AVERAGE(OFFSET($H$3,0,0,'Données projet'!$E$12+1,1))</f>
        <v>442.85175349826028</v>
      </c>
      <c r="CE81" s="59">
        <f t="shared" si="94"/>
        <v>210.70697808232501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28.078014691453795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28.078014691453795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10.26166666666667</v>
      </c>
      <c r="N82" s="13">
        <f>IF('Données projet'!$A$36&gt;35,N81+M82-V81,IF(A82&lt;'Données projet'!$A$36,$K$205^A82,IF(A82='Données projet'!$A$36,'Données projet'!$B$36,N81+M82-V81)))</f>
        <v>338.06666666666678</v>
      </c>
      <c r="O82" s="13">
        <f>N82*VLOOKUP('Données projet'!$B$9,Paramètres!$A$1:$I$89,3,0)*VLOOKUP('Données projet'!$B$9,Paramètres!$A$1:$I$89,5,0)</f>
        <v>158.21520000000004</v>
      </c>
      <c r="P82" s="13">
        <f t="shared" si="87"/>
        <v>40.439686338648897</v>
      </c>
      <c r="Q82" s="20">
        <f t="shared" si="54"/>
        <v>345.99059370648024</v>
      </c>
      <c r="R82" s="59">
        <f t="shared" si="55"/>
        <v>639.3239270398135</v>
      </c>
      <c r="S82" s="59">
        <f ca="1">AVERAGE(OFFSET($R$3,0,0,'Données projet'!$E$9+1,1))-AVERAGE(OFFSET($H$3,0,0,'Données projet'!$E$9+1,1))</f>
        <v>289.01603252482897</v>
      </c>
      <c r="T82" s="59">
        <f t="shared" si="88"/>
        <v>233.84231920589906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53.956575219107542</v>
      </c>
      <c r="AA82" s="21">
        <f>EXP(-LN(2)/25)*AA81+(1-EXP(-LN(2)/25))/(LN(2)/25)*Calculateur!V82*Calculateur!X82*VLOOKUP('Données projet'!$B$9,Paramètres!$A$1:$I$89,3,0)*0.475*44/12</f>
        <v>20.58894014749643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74.545515366603979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255.1219320000001</v>
      </c>
      <c r="AK82" s="13">
        <f t="shared" si="89"/>
        <v>61.681427575411924</v>
      </c>
      <c r="AL82" s="20">
        <f t="shared" si="58"/>
        <v>551.76585126050918</v>
      </c>
      <c r="AM82" s="59">
        <f t="shared" si="59"/>
        <v>845.09918459384244</v>
      </c>
      <c r="AN82" s="59">
        <f ca="1">AVERAGE(OFFSET($AM$3,0,0,'Données projet'!$E$10+1,1))-AVERAGE(OFFSET($H$3,0,0,'Données projet'!$E$10+1,1))</f>
        <v>581.88778927327667</v>
      </c>
      <c r="AO82" s="59">
        <f t="shared" si="90"/>
        <v>269.67340993773422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30.124348548238373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30.124348548238373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285.91251000000017</v>
      </c>
      <c r="BF82" s="13">
        <f t="shared" si="91"/>
        <v>68.214968580220258</v>
      </c>
      <c r="BG82" s="20">
        <f t="shared" si="61"/>
        <v>616.77202519388391</v>
      </c>
      <c r="BH82" s="59">
        <f t="shared" si="62"/>
        <v>910.10535852721728</v>
      </c>
      <c r="BI82" s="59">
        <f ca="1">AVERAGE(OFFSET($BH$3,0,0,'Données projet'!$E$11+1,1))-AVERAGE(OFFSET($H$3,0,0,'Données projet'!$E$11+1,1))</f>
        <v>646.50767193970182</v>
      </c>
      <c r="BJ82" s="59">
        <f t="shared" si="92"/>
        <v>297.06786598620607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33.760045786818864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33.760045786818864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189.14212200000009</v>
      </c>
      <c r="CA82" s="13">
        <f t="shared" si="93"/>
        <v>47.350238281444589</v>
      </c>
      <c r="CB82" s="20">
        <f t="shared" si="64"/>
        <v>411.89086082351611</v>
      </c>
      <c r="CC82" s="59">
        <f t="shared" si="65"/>
        <v>705.22419415684942</v>
      </c>
      <c r="CD82" s="59">
        <f ca="1">AVERAGE(OFFSET($CC$3,0,0,'Données projet'!$E$12+1,1))-AVERAGE(OFFSET($H$3,0,0,'Données projet'!$E$12+1,1))</f>
        <v>442.85175349826028</v>
      </c>
      <c r="CE82" s="59">
        <f t="shared" si="94"/>
        <v>210.70697808232501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27.527421949252307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27.527421949252307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10.26166666666667</v>
      </c>
      <c r="N83" s="13">
        <f>IF('Données projet'!$A$36&gt;35,N82+M83-V82,IF(A83&lt;'Données projet'!$A$36,$K$205^A83,IF(A83='Données projet'!$A$36,'Données projet'!$B$36,N82+M83-V82)))</f>
        <v>348.32833333333343</v>
      </c>
      <c r="O83" s="13">
        <f>N83*VLOOKUP('Données projet'!$B$9,Paramètres!$A$1:$I$89,3,0)*VLOOKUP('Données projet'!$B$9,Paramètres!$A$1:$I$89,5,0)</f>
        <v>163.01766000000003</v>
      </c>
      <c r="P83" s="13">
        <f t="shared" si="87"/>
        <v>41.522415112497548</v>
      </c>
      <c r="Q83" s="20">
        <f t="shared" si="54"/>
        <v>356.24063082093329</v>
      </c>
      <c r="R83" s="59">
        <f t="shared" si="55"/>
        <v>649.5739641542666</v>
      </c>
      <c r="S83" s="59">
        <f ca="1">AVERAGE(OFFSET($R$3,0,0,'Données projet'!$E$9+1,1))-AVERAGE(OFFSET($H$3,0,0,'Données projet'!$E$9+1,1))</f>
        <v>289.01603252482897</v>
      </c>
      <c r="T83" s="59">
        <f t="shared" si="88"/>
        <v>233.84231920589906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52.898519689322107</v>
      </c>
      <c r="AA83" s="21">
        <f>EXP(-LN(2)/25)*AA82+(1-EXP(-LN(2)/25))/(LN(2)/25)*Calculateur!V83*Calculateur!X83*VLOOKUP('Données projet'!$B$9,Paramètres!$A$1:$I$89,3,0)*0.475*44/12</f>
        <v>20.025934496437834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72.924454185759942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262.97288160000016</v>
      </c>
      <c r="AK83" s="13">
        <f t="shared" si="89"/>
        <v>63.355656254051972</v>
      </c>
      <c r="AL83" s="20">
        <f t="shared" si="58"/>
        <v>568.35553676247412</v>
      </c>
      <c r="AM83" s="59">
        <f t="shared" si="59"/>
        <v>861.68887009580749</v>
      </c>
      <c r="AN83" s="59">
        <f ca="1">AVERAGE(OFFSET($AM$3,0,0,'Données projet'!$E$10+1,1))-AVERAGE(OFFSET($H$3,0,0,'Données projet'!$E$10+1,1))</f>
        <v>581.88778927327667</v>
      </c>
      <c r="AO83" s="59">
        <f t="shared" si="90"/>
        <v>269.67340993773422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29.533628447245746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29.533628447245746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294.71098800000021</v>
      </c>
      <c r="BF83" s="13">
        <f t="shared" si="91"/>
        <v>70.066538188752801</v>
      </c>
      <c r="BG83" s="20">
        <f t="shared" si="61"/>
        <v>635.3208581120781</v>
      </c>
      <c r="BH83" s="59">
        <f t="shared" si="62"/>
        <v>928.65419144541147</v>
      </c>
      <c r="BI83" s="59">
        <f ca="1">AVERAGE(OFFSET($BH$3,0,0,'Données projet'!$E$11+1,1))-AVERAGE(OFFSET($H$3,0,0,'Données projet'!$E$11+1,1))</f>
        <v>646.50767193970182</v>
      </c>
      <c r="BJ83" s="59">
        <f t="shared" si="92"/>
        <v>297.06786598620607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33.098031880534023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33.098031880534023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194.96265360000012</v>
      </c>
      <c r="CA83" s="13">
        <f t="shared" si="93"/>
        <v>48.635473237693247</v>
      </c>
      <c r="CB83" s="20">
        <f t="shared" si="64"/>
        <v>424.2667375756493</v>
      </c>
      <c r="CC83" s="59">
        <f t="shared" si="65"/>
        <v>717.60007090898262</v>
      </c>
      <c r="CD83" s="59">
        <f ca="1">AVERAGE(OFFSET($CC$3,0,0,'Données projet'!$E$12+1,1))-AVERAGE(OFFSET($H$3,0,0,'Données projet'!$E$12+1,1))</f>
        <v>442.85175349826028</v>
      </c>
      <c r="CE83" s="59">
        <f t="shared" si="94"/>
        <v>210.70697808232501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26.987625994896977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26.987625994896977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10.26166666666667</v>
      </c>
      <c r="N84" s="13">
        <f>IF('Données projet'!$A$36&gt;35,N83+M84-V83,IF(A84&lt;'Données projet'!$A$36,$K$205^A84,IF(A84='Données projet'!$A$36,'Données projet'!$B$36,N83+M84-V83)))</f>
        <v>358.59000000000009</v>
      </c>
      <c r="O84" s="13">
        <f>N84*VLOOKUP('Données projet'!$B$9,Paramètres!$A$1:$I$89,3,0)*VLOOKUP('Données projet'!$B$9,Paramètres!$A$1:$I$89,5,0)</f>
        <v>167.82012000000003</v>
      </c>
      <c r="P84" s="13">
        <f t="shared" si="87"/>
        <v>42.601436876579278</v>
      </c>
      <c r="Q84" s="20">
        <f t="shared" si="54"/>
        <v>366.48421156004224</v>
      </c>
      <c r="R84" s="59">
        <f t="shared" si="55"/>
        <v>659.8175448933755</v>
      </c>
      <c r="S84" s="59">
        <f ca="1">AVERAGE(OFFSET($R$3,0,0,'Données projet'!$E$9+1,1))-AVERAGE(OFFSET($H$3,0,0,'Données projet'!$E$9+1,1))</f>
        <v>289.01603252482897</v>
      </c>
      <c r="T84" s="59">
        <f t="shared" si="88"/>
        <v>233.84231920589906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51.861211983125614</v>
      </c>
      <c r="AA84" s="21">
        <f>EXP(-LN(2)/25)*AA83+(1-EXP(-LN(2)/25))/(LN(2)/25)*Calculateur!V84*Calculateur!X84*VLOOKUP('Données projet'!$B$9,Paramètres!$A$1:$I$89,3,0)*0.475*44/12</f>
        <v>19.478324264514615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71.339536247640225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270.8238312000002</v>
      </c>
      <c r="AK84" s="13">
        <f t="shared" si="89"/>
        <v>65.024076047844915</v>
      </c>
      <c r="AL84" s="20">
        <f t="shared" si="58"/>
        <v>584.93510512333023</v>
      </c>
      <c r="AM84" s="59">
        <f t="shared" si="59"/>
        <v>878.26843845666349</v>
      </c>
      <c r="AN84" s="59">
        <f ca="1">AVERAGE(OFFSET($AM$3,0,0,'Données projet'!$E$10+1,1))-AVERAGE(OFFSET($H$3,0,0,'Données projet'!$E$10+1,1))</f>
        <v>581.88778927327667</v>
      </c>
      <c r="AO84" s="59">
        <f t="shared" si="90"/>
        <v>269.67340993773422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28.9544920071299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28.9544920071299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303.5094660000002</v>
      </c>
      <c r="BF84" s="13">
        <f t="shared" si="91"/>
        <v>71.911683612358004</v>
      </c>
      <c r="BG84" s="20">
        <f t="shared" si="61"/>
        <v>653.85850224152387</v>
      </c>
      <c r="BH84" s="59">
        <f t="shared" si="62"/>
        <v>947.19183557485712</v>
      </c>
      <c r="BI84" s="59">
        <f ca="1">AVERAGE(OFFSET($BH$3,0,0,'Données projet'!$E$11+1,1))-AVERAGE(OFFSET($H$3,0,0,'Données projet'!$E$11+1,1))</f>
        <v>646.50767193970182</v>
      </c>
      <c r="BJ84" s="59">
        <f t="shared" si="92"/>
        <v>297.06786598620607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32.448999663162816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32.448999663162816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200.78318520000013</v>
      </c>
      <c r="CA84" s="13">
        <f t="shared" si="93"/>
        <v>49.916248957304894</v>
      </c>
      <c r="CB84" s="20">
        <f t="shared" si="64"/>
        <v>436.6348478239729</v>
      </c>
      <c r="CC84" s="59">
        <f t="shared" si="65"/>
        <v>729.96818115730616</v>
      </c>
      <c r="CD84" s="59">
        <f ca="1">AVERAGE(OFFSET($CC$3,0,0,'Données projet'!$E$12+1,1))-AVERAGE(OFFSET($H$3,0,0,'Données projet'!$E$12+1,1))</f>
        <v>442.85175349826028</v>
      </c>
      <c r="CE84" s="59">
        <f t="shared" si="94"/>
        <v>210.70697808232501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26.458415109963532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26.458415109963532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10.26166666666667</v>
      </c>
      <c r="N85" s="13">
        <f>IF('Données projet'!$A$36&gt;35,N84+M85-V84,IF(A85&lt;'Données projet'!$A$36,$K$205^A85,IF(A85='Données projet'!$A$36,'Données projet'!$B$36,N84+M85-V84)))</f>
        <v>368.85166666666674</v>
      </c>
      <c r="O85" s="13">
        <f>N85*VLOOKUP('Données projet'!$B$9,Paramètres!$A$1:$I$89,3,0)*VLOOKUP('Données projet'!$B$9,Paramètres!$A$1:$I$89,5,0)</f>
        <v>172.62258000000003</v>
      </c>
      <c r="P85" s="13">
        <f t="shared" si="87"/>
        <v>43.676869897004266</v>
      </c>
      <c r="Q85" s="20">
        <f t="shared" si="54"/>
        <v>376.72154190394917</v>
      </c>
      <c r="R85" s="59">
        <f t="shared" si="55"/>
        <v>670.05487523728243</v>
      </c>
      <c r="S85" s="59">
        <f ca="1">AVERAGE(OFFSET($R$3,0,0,'Données projet'!$E$9+1,1))-AVERAGE(OFFSET($H$3,0,0,'Données projet'!$E$9+1,1))</f>
        <v>289.01603252482897</v>
      </c>
      <c r="T85" s="59">
        <f t="shared" si="88"/>
        <v>233.84231920589906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50.844245248352408</v>
      </c>
      <c r="AA85" s="21">
        <f>EXP(-LN(2)/25)*AA84+(1-EXP(-LN(2)/25))/(LN(2)/25)*Calculateur!V85*Calculateur!X85*VLOOKUP('Données projet'!$B$9,Paramètres!$A$1:$I$89,3,0)*0.475*44/12</f>
        <v>18.945688463180907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69.789933711533308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278.67478080000018</v>
      </c>
      <c r="AK85" s="13">
        <f t="shared" si="89"/>
        <v>66.686874688958113</v>
      </c>
      <c r="AL85" s="20">
        <f t="shared" si="58"/>
        <v>601.50488330993562</v>
      </c>
      <c r="AM85" s="59">
        <f t="shared" si="59"/>
        <v>894.83821664326888</v>
      </c>
      <c r="AN85" s="59">
        <f ca="1">AVERAGE(OFFSET($AM$3,0,0,'Données projet'!$E$10+1,1))-AVERAGE(OFFSET($H$3,0,0,'Données projet'!$E$10+1,1))</f>
        <v>581.88778927327667</v>
      </c>
      <c r="AO85" s="59">
        <f t="shared" si="90"/>
        <v>269.67340993773422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28.386712079366379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28.386712079366379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312.30794400000019</v>
      </c>
      <c r="BF85" s="13">
        <f t="shared" si="91"/>
        <v>73.750612468537497</v>
      </c>
      <c r="BG85" s="20">
        <f t="shared" si="61"/>
        <v>672.38531918270314</v>
      </c>
      <c r="BH85" s="59">
        <f t="shared" si="62"/>
        <v>965.7186525160364</v>
      </c>
      <c r="BI85" s="59">
        <f ca="1">AVERAGE(OFFSET($BH$3,0,0,'Données projet'!$E$11+1,1))-AVERAGE(OFFSET($H$3,0,0,'Données projet'!$E$11+1,1))</f>
        <v>646.50767193970182</v>
      </c>
      <c r="BJ85" s="59">
        <f t="shared" si="92"/>
        <v>297.06786598620607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31.812694571703695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31.812694571703695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206.60371680000011</v>
      </c>
      <c r="CA85" s="13">
        <f t="shared" si="93"/>
        <v>51.192709554370559</v>
      </c>
      <c r="CB85" s="20">
        <f t="shared" si="64"/>
        <v>448.9954425671956</v>
      </c>
      <c r="CC85" s="59">
        <f t="shared" si="65"/>
        <v>742.32877590052885</v>
      </c>
      <c r="CD85" s="59">
        <f ca="1">AVERAGE(OFFSET($CC$3,0,0,'Données projet'!$E$12+1,1))-AVERAGE(OFFSET($H$3,0,0,'Données projet'!$E$12+1,1))</f>
        <v>442.85175349826028</v>
      </c>
      <c r="CE85" s="59">
        <f t="shared" si="94"/>
        <v>210.70697808232501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25.939581727696865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25.939581727696865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10.26166666666667</v>
      </c>
      <c r="N86" s="13">
        <f>IF('Données projet'!$A$36&gt;35,N85+M86-V85,IF(A86&lt;'Données projet'!$A$36,$K$205^A86,IF(A86='Données projet'!$A$36,'Données projet'!$B$36,N85+M86-V85)))</f>
        <v>379.1133333333334</v>
      </c>
      <c r="O86" s="13">
        <f>N86*VLOOKUP('Données projet'!$B$9,Paramètres!$A$1:$I$89,3,0)*VLOOKUP('Données projet'!$B$9,Paramètres!$A$1:$I$89,5,0)</f>
        <v>177.42504000000002</v>
      </c>
      <c r="P86" s="13">
        <f t="shared" si="87"/>
        <v>44.748825484986561</v>
      </c>
      <c r="Q86" s="20">
        <f t="shared" si="54"/>
        <v>386.95281571968491</v>
      </c>
      <c r="R86" s="59">
        <f t="shared" si="55"/>
        <v>680.28614905301822</v>
      </c>
      <c r="S86" s="59">
        <f ca="1">AVERAGE(OFFSET($R$3,0,0,'Données projet'!$E$9+1,1))-AVERAGE(OFFSET($H$3,0,0,'Données projet'!$E$9+1,1))</f>
        <v>289.01603252482897</v>
      </c>
      <c r="T86" s="59">
        <f t="shared" si="88"/>
        <v>233.84231920589906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49.847220610959646</v>
      </c>
      <c r="AA86" s="21">
        <f>EXP(-LN(2)/25)*AA85+(1-EXP(-LN(2)/25))/(LN(2)/25)*Calculateur!V86*Calculateur!X86*VLOOKUP('Données projet'!$B$9,Paramètres!$A$1:$I$89,3,0)*0.475*44/12</f>
        <v>18.42761761584477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68.27483822680442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286.52573040000021</v>
      </c>
      <c r="AK86" s="13">
        <f t="shared" si="89"/>
        <v>68.344228730046424</v>
      </c>
      <c r="AL86" s="20">
        <f t="shared" si="58"/>
        <v>618.06517881816455</v>
      </c>
      <c r="AM86" s="59">
        <f t="shared" si="59"/>
        <v>911.39851215149793</v>
      </c>
      <c r="AN86" s="59">
        <f ca="1">AVERAGE(OFFSET($AM$3,0,0,'Données projet'!$E$10+1,1))-AVERAGE(OFFSET($H$3,0,0,'Données projet'!$E$10+1,1))</f>
        <v>581.88778927327667</v>
      </c>
      <c r="AO86" s="59">
        <f t="shared" si="90"/>
        <v>269.67340993773422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27.830065969674738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27.830065969674738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321.10642200000024</v>
      </c>
      <c r="BF86" s="13">
        <f t="shared" si="91"/>
        <v>75.58352001110228</v>
      </c>
      <c r="BG86" s="20">
        <f t="shared" si="61"/>
        <v>690.90164900267018</v>
      </c>
      <c r="BH86" s="59">
        <f t="shared" si="62"/>
        <v>984.23498233600344</v>
      </c>
      <c r="BI86" s="59">
        <f ca="1">AVERAGE(OFFSET($BH$3,0,0,'Données projet'!$E$11+1,1))-AVERAGE(OFFSET($H$3,0,0,'Données projet'!$E$11+1,1))</f>
        <v>646.50767193970182</v>
      </c>
      <c r="BJ86" s="59">
        <f t="shared" si="92"/>
        <v>297.06786598620607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31.188867034980305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31.188867034980305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212.42424840000018</v>
      </c>
      <c r="CA86" s="13">
        <f t="shared" si="93"/>
        <v>52.464990560939327</v>
      </c>
      <c r="CB86" s="20">
        <f t="shared" si="64"/>
        <v>461.3487578569696</v>
      </c>
      <c r="CC86" s="59">
        <f t="shared" si="65"/>
        <v>754.68209119030291</v>
      </c>
      <c r="CD86" s="59">
        <f ca="1">AVERAGE(OFFSET($CC$3,0,0,'Données projet'!$E$12+1,1))-AVERAGE(OFFSET($H$3,0,0,'Données projet'!$E$12+1,1))</f>
        <v>442.85175349826028</v>
      </c>
      <c r="CE86" s="59">
        <f t="shared" si="94"/>
        <v>210.70697808232501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25.430922351599332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25.430922351599332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10.26166666666667</v>
      </c>
      <c r="N87" s="13">
        <f>IF('Données projet'!$A$36&gt;35,N86+M87-V86,IF(A87&lt;'Données projet'!$A$36,$K$205^A87,IF(A87='Données projet'!$A$36,'Données projet'!$B$36,N86+M87-V86)))</f>
        <v>389.37500000000006</v>
      </c>
      <c r="O87" s="13">
        <f>N87*VLOOKUP('Données projet'!$B$9,Paramètres!$A$1:$I$89,3,0)*VLOOKUP('Données projet'!$B$9,Paramètres!$A$1:$I$89,5,0)</f>
        <v>182.22750000000002</v>
      </c>
      <c r="P87" s="13">
        <f t="shared" si="87"/>
        <v>45.817408582879374</v>
      </c>
      <c r="Q87" s="20">
        <f t="shared" si="54"/>
        <v>397.17821578184822</v>
      </c>
      <c r="R87" s="59">
        <f t="shared" si="55"/>
        <v>690.51154911518154</v>
      </c>
      <c r="S87" s="59">
        <f ca="1">AVERAGE(OFFSET($R$3,0,0,'Données projet'!$E$9+1,1))-AVERAGE(OFFSET($H$3,0,0,'Données projet'!$E$9+1,1))</f>
        <v>289.01603252482897</v>
      </c>
      <c r="T87" s="59">
        <f t="shared" si="88"/>
        <v>233.84231920589906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48.869747018581172</v>
      </c>
      <c r="AA87" s="21">
        <f>EXP(-LN(2)/25)*AA86+(1-EXP(-LN(2)/25))/(LN(2)/25)*Calculateur!V87*Calculateur!X87*VLOOKUP('Données projet'!$B$9,Paramètres!$A$1:$I$89,3,0)*0.475*44/12</f>
        <v>17.923713443073201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66.793460461654377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294.37668000000025</v>
      </c>
      <c r="AK87" s="13">
        <f t="shared" si="89"/>
        <v>69.99630449784344</v>
      </c>
      <c r="AL87" s="20">
        <f t="shared" si="58"/>
        <v>634.61628133374438</v>
      </c>
      <c r="AM87" s="59">
        <f t="shared" si="59"/>
        <v>927.94961466707764</v>
      </c>
      <c r="AN87" s="59">
        <f ca="1">AVERAGE(OFFSET($AM$3,0,0,'Données projet'!$E$10+1,1))-AVERAGE(OFFSET($H$3,0,0,'Données projet'!$E$10+1,1))</f>
        <v>581.88778927327667</v>
      </c>
      <c r="AO87" s="59">
        <f t="shared" si="90"/>
        <v>269.67340993773422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43.147236627276406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43.147236627276406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329.90490000000028</v>
      </c>
      <c r="BF87" s="13">
        <f t="shared" si="91"/>
        <v>77.410590184772218</v>
      </c>
      <c r="BG87" s="20">
        <f t="shared" si="61"/>
        <v>709.40781207181215</v>
      </c>
      <c r="BH87" s="59">
        <f t="shared" si="62"/>
        <v>1002.7411454051455</v>
      </c>
      <c r="BI87" s="59">
        <f ca="1">AVERAGE(OFFSET($BH$3,0,0,'Données projet'!$E$11+1,1))-AVERAGE(OFFSET($H$3,0,0,'Données projet'!$E$11+1,1))</f>
        <v>646.50767193970182</v>
      </c>
      <c r="BJ87" s="59">
        <f t="shared" si="92"/>
        <v>297.06786598620607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48.354661737464937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48.354661737464937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218.24478000000016</v>
      </c>
      <c r="CA87" s="13">
        <f t="shared" si="93"/>
        <v>53.733219659050746</v>
      </c>
      <c r="CB87" s="20">
        <f t="shared" si="64"/>
        <v>473.69501607284701</v>
      </c>
      <c r="CC87" s="59">
        <f t="shared" si="65"/>
        <v>767.02834940618027</v>
      </c>
      <c r="CD87" s="59">
        <f ca="1">AVERAGE(OFFSET($CC$3,0,0,'Données projet'!$E$12+1,1))-AVERAGE(OFFSET($H$3,0,0,'Données projet'!$E$12+1,1))</f>
        <v>442.85175349826028</v>
      </c>
      <c r="CE87" s="59">
        <f t="shared" si="94"/>
        <v>210.70697808232501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0.318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39.427647262856034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39.427647262856034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10.26166666666667</v>
      </c>
      <c r="N88" s="13">
        <f>IF('Données projet'!$A$36&gt;35,N87+M88-V87,IF(A88&lt;'Données projet'!$A$36,$K$205^A88,IF(A88='Données projet'!$A$36,'Données projet'!$B$36,N87+M88-V87)))</f>
        <v>399.63666666666671</v>
      </c>
      <c r="O88" s="13">
        <f>N88*VLOOKUP('Données projet'!$B$9,Paramètres!$A$1:$I$89,3,0)*VLOOKUP('Données projet'!$B$9,Paramètres!$A$1:$I$89,5,0)</f>
        <v>187.02996000000002</v>
      </c>
      <c r="P88" s="13">
        <f t="shared" si="87"/>
        <v>46.882718286693581</v>
      </c>
      <c r="Q88" s="20">
        <f t="shared" si="54"/>
        <v>407.39791468265798</v>
      </c>
      <c r="R88" s="59">
        <f t="shared" si="55"/>
        <v>700.73124801599124</v>
      </c>
      <c r="S88" s="59">
        <f ca="1">AVERAGE(OFFSET($R$3,0,0,'Données projet'!$E$9+1,1))-AVERAGE(OFFSET($H$3,0,0,'Données projet'!$E$9+1,1))</f>
        <v>289.01603252482897</v>
      </c>
      <c r="T88" s="59">
        <f t="shared" si="88"/>
        <v>233.84231920589906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47.911441087149221</v>
      </c>
      <c r="AA88" s="21">
        <f>EXP(-LN(2)/25)*AA87+(1-EXP(-LN(2)/25))/(LN(2)/25)*Calculateur!V88*Calculateur!X88*VLOOKUP('Données projet'!$B$9,Paramètres!$A$1:$I$89,3,0)*0.475*44/12</f>
        <v>17.43358855640524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65.345029643554454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246.26032080000024</v>
      </c>
      <c r="AK88" s="13">
        <f t="shared" si="89"/>
        <v>59.784443753506842</v>
      </c>
      <c r="AL88" s="20">
        <f t="shared" si="58"/>
        <v>533.02796493069138</v>
      </c>
      <c r="AM88" s="59">
        <f t="shared" si="59"/>
        <v>826.36129826402475</v>
      </c>
      <c r="AN88" s="59">
        <f ca="1">AVERAGE(OFFSET($AM$3,0,0,'Données projet'!$E$10+1,1))-AVERAGE(OFFSET($H$3,0,0,'Données projet'!$E$10+1,1))</f>
        <v>581.88778927327667</v>
      </c>
      <c r="AO88" s="59">
        <f t="shared" si="90"/>
        <v>269.67340993773422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42.301145634231247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42.301145634231247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275.98139400000031</v>
      </c>
      <c r="BF88" s="13">
        <f t="shared" si="91"/>
        <v>66.117048721763197</v>
      </c>
      <c r="BG88" s="20">
        <f t="shared" si="61"/>
        <v>595.82145440707143</v>
      </c>
      <c r="BH88" s="59">
        <f t="shared" si="62"/>
        <v>889.1547877404048</v>
      </c>
      <c r="BI88" s="59">
        <f ca="1">AVERAGE(OFFSET($BH$3,0,0,'Données projet'!$E$11+1,1))-AVERAGE(OFFSET($H$3,0,0,'Données projet'!$E$11+1,1))</f>
        <v>646.50767193970182</v>
      </c>
      <c r="BJ88" s="59">
        <f t="shared" si="92"/>
        <v>297.06786598620607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47.406456314224677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47.406456314224677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182.57230680000018</v>
      </c>
      <c r="CA88" s="13">
        <f t="shared" si="93"/>
        <v>45.894003568435856</v>
      </c>
      <c r="CB88" s="20">
        <f t="shared" si="64"/>
        <v>397.91215722502608</v>
      </c>
      <c r="CC88" s="59">
        <f t="shared" si="65"/>
        <v>691.24549055835939</v>
      </c>
      <c r="CD88" s="59">
        <f ca="1">AVERAGE(OFFSET($CC$3,0,0,'Données projet'!$E$12+1,1))-AVERAGE(OFFSET($H$3,0,0,'Données projet'!$E$12+1,1))</f>
        <v>442.85175349826028</v>
      </c>
      <c r="CE88" s="59">
        <f t="shared" si="94"/>
        <v>210.70697808232501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38.654495148521669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38.654495148521669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10.26166666666667</v>
      </c>
      <c r="N89" s="13">
        <f>IF('Données projet'!$A$36&gt;35,N88+M89-V88,IF(A89&lt;'Données projet'!$A$36,$K$205^A89,IF(A89='Données projet'!$A$36,'Données projet'!$B$36,N88+M89-V88)))</f>
        <v>409.89833333333337</v>
      </c>
      <c r="O89" s="13">
        <f>N89*VLOOKUP('Données projet'!$B$9,Paramètres!$A$1:$I$89,3,0)*VLOOKUP('Données projet'!$B$9,Paramètres!$A$1:$I$89,5,0)</f>
        <v>191.83242000000001</v>
      </c>
      <c r="P89" s="13">
        <f t="shared" si="87"/>
        <v>47.944848313438996</v>
      </c>
      <c r="Q89" s="20">
        <f t="shared" si="54"/>
        <v>417.61207564590626</v>
      </c>
      <c r="R89" s="59">
        <f t="shared" si="55"/>
        <v>710.94540897923957</v>
      </c>
      <c r="S89" s="59">
        <f ca="1">AVERAGE(OFFSET($R$3,0,0,'Données projet'!$E$9+1,1))-AVERAGE(OFFSET($H$3,0,0,'Données projet'!$E$9+1,1))</f>
        <v>289.01603252482897</v>
      </c>
      <c r="T89" s="59">
        <f t="shared" si="88"/>
        <v>233.84231920589906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46.971926950523745</v>
      </c>
      <c r="AA89" s="21">
        <f>EXP(-LN(2)/25)*AA88+(1-EXP(-LN(2)/25))/(LN(2)/25)*Calculateur!V89*Calculateur!X89*VLOOKUP('Données projet'!$B$9,Paramètres!$A$1:$I$89,3,0)*0.475*44/12</f>
        <v>16.956866160537761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63.928793111061509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253.76201760000023</v>
      </c>
      <c r="AK89" s="13">
        <f t="shared" si="89"/>
        <v>61.390818695638195</v>
      </c>
      <c r="AL89" s="20">
        <f t="shared" si="58"/>
        <v>548.89118988157031</v>
      </c>
      <c r="AM89" s="59">
        <f t="shared" si="59"/>
        <v>842.22452321490368</v>
      </c>
      <c r="AN89" s="59">
        <f ca="1">AVERAGE(OFFSET($AM$3,0,0,'Données projet'!$E$10+1,1))-AVERAGE(OFFSET($H$3,0,0,'Données projet'!$E$10+1,1))</f>
        <v>581.88778927327667</v>
      </c>
      <c r="AO89" s="59">
        <f t="shared" si="90"/>
        <v>269.67340993773422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41.471645969495157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41.471645969495157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284.38846800000033</v>
      </c>
      <c r="BF89" s="13">
        <f t="shared" si="91"/>
        <v>67.893577257383939</v>
      </c>
      <c r="BG89" s="20">
        <f t="shared" si="61"/>
        <v>613.55789548994426</v>
      </c>
      <c r="BH89" s="59">
        <f t="shared" si="62"/>
        <v>906.89122882327752</v>
      </c>
      <c r="BI89" s="59">
        <f ca="1">AVERAGE(OFFSET($BH$3,0,0,'Données projet'!$E$11+1,1))-AVERAGE(OFFSET($H$3,0,0,'Données projet'!$E$11+1,1))</f>
        <v>646.50767193970182</v>
      </c>
      <c r="BJ89" s="59">
        <f t="shared" si="92"/>
        <v>297.06786598620607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46.476844620985958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46.476844620985958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188.13390960000018</v>
      </c>
      <c r="CA89" s="13">
        <f t="shared" si="93"/>
        <v>47.12715006437692</v>
      </c>
      <c r="CB89" s="20">
        <f t="shared" si="64"/>
        <v>409.74634558212347</v>
      </c>
      <c r="CC89" s="59">
        <f t="shared" si="65"/>
        <v>703.07967891545673</v>
      </c>
      <c r="CD89" s="59">
        <f ca="1">AVERAGE(OFFSET($CC$3,0,0,'Données projet'!$E$12+1,1))-AVERAGE(OFFSET($H$3,0,0,'Données projet'!$E$12+1,1))</f>
        <v>442.85175349826028</v>
      </c>
      <c r="CE89" s="59">
        <f t="shared" si="94"/>
        <v>210.70697808232501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37.896504075573169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37.896504075573169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420.16</v>
      </c>
      <c r="L90" s="12">
        <f>VLOOKUP(A90,'Données projet'!$A$35:$I$55,9,0)</f>
        <v>10.26166666666667</v>
      </c>
      <c r="M90" s="12">
        <f t="array" ref="M90">INDEX(L:L,MIN(IF(ISNUMBER(L90:L286),ROW(L90:L286),"")))</f>
        <v>10.26166666666667</v>
      </c>
      <c r="N90" s="13">
        <f>IF('Données projet'!$A$36&gt;35,N89+M90-V89,IF(A90&lt;'Données projet'!$A$36,$K$205^A90,IF(A90='Données projet'!$A$36,'Données projet'!$B$36,N89+M90-V89)))</f>
        <v>420.16</v>
      </c>
      <c r="O90" s="13">
        <f>N90*VLOOKUP('Données projet'!$B$9,Paramètres!$A$1:$I$89,3,0)*VLOOKUP('Données projet'!$B$9,Paramètres!$A$1:$I$89,5,0)</f>
        <v>196.63488000000001</v>
      </c>
      <c r="P90" s="13">
        <f t="shared" si="87"/>
        <v>49.003887420349095</v>
      </c>
      <c r="Q90" s="20">
        <f t="shared" si="54"/>
        <v>427.82085325710796</v>
      </c>
      <c r="R90" s="59">
        <f t="shared" si="55"/>
        <v>721.15418659044121</v>
      </c>
      <c r="S90" s="59">
        <f ca="1">AVERAGE(OFFSET($R$3,0,0,'Données projet'!$E$9+1,1))-AVERAGE(OFFSET($H$3,0,0,'Données projet'!$E$9+1,1))</f>
        <v>289.01603252482897</v>
      </c>
      <c r="T90" s="59">
        <f t="shared" si="88"/>
        <v>233.84231920589906</v>
      </c>
      <c r="U90" s="15">
        <f>IF(ISNA(VLOOKUP(A90,'Données projet'!$A$35:$I$55,3,0)),0,VLOOKUP(A90,'Données projet'!$A$35:$I$55,3,0))</f>
        <v>4</v>
      </c>
      <c r="V90" s="15">
        <f>IF(ISNA(VLOOKUP(A90,'Données projet'!$A$35:$I$55,4,0)),0,VLOOKUP(A90,'Données projet'!$A$35:$I$55,4,0))</f>
        <v>91.18</v>
      </c>
      <c r="W90" s="16">
        <f>IF(ISNA(VLOOKUP(A90,'Données projet'!$A$35:$I$55,5,0)),0%,VLOOKUP(A90,'Données projet'!$A$35:$I$55,5,0)*VLOOKUP('Données projet'!$B$9,Paramètres!$A$1:$I$89,7,0))</f>
        <v>0.38500000000000001</v>
      </c>
      <c r="X90" s="16">
        <f>IF(ISNA(VLOOKUP(A90,'Données projet'!$A$35:$I$55,6,0)),0%,VLOOKUP(A90,'Données projet'!$A$35:$I$55,6,0)*VLOOKUP('Données projet'!$B$9,Paramètres!$A$1:$I$89,7,0))</f>
        <v>0.16500000000000001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67.844714687994824</v>
      </c>
      <c r="AA90" s="21">
        <f>EXP(-LN(2)/25)*AA89+(1-EXP(-LN(2)/25))/(LN(2)/25)*Calculateur!V90*Calculateur!X90*VLOOKUP('Données projet'!$B$9,Paramètres!$A$1:$I$89,3,0)*0.475*44/12</f>
        <v>25.796637379736211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93.641352067731034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261.26371440000025</v>
      </c>
      <c r="AK90" s="13">
        <f t="shared" si="89"/>
        <v>62.991674736313257</v>
      </c>
      <c r="AL90" s="20">
        <f t="shared" si="58"/>
        <v>564.74480274574603</v>
      </c>
      <c r="AM90" s="59">
        <f t="shared" si="59"/>
        <v>858.07813607907929</v>
      </c>
      <c r="AN90" s="59">
        <f ca="1">AVERAGE(OFFSET($AM$3,0,0,'Données projet'!$E$10+1,1))-AVERAGE(OFFSET($H$3,0,0,'Données projet'!$E$10+1,1))</f>
        <v>581.88778927327667</v>
      </c>
      <c r="AO90" s="59">
        <f t="shared" si="90"/>
        <v>269.67340993773422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40.658412287239706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40.658412287239706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292.7955420000003</v>
      </c>
      <c r="BF90" s="13">
        <f t="shared" si="91"/>
        <v>69.664002307656872</v>
      </c>
      <c r="BG90" s="20">
        <f t="shared" si="61"/>
        <v>631.2837063358362</v>
      </c>
      <c r="BH90" s="59">
        <f t="shared" si="62"/>
        <v>924.61703966916957</v>
      </c>
      <c r="BI90" s="59">
        <f ca="1">AVERAGE(OFFSET($BH$3,0,0,'Données projet'!$E$11+1,1))-AVERAGE(OFFSET($H$3,0,0,'Données projet'!$E$11+1,1))</f>
        <v>646.50767193970182</v>
      </c>
      <c r="BJ90" s="59">
        <f t="shared" si="92"/>
        <v>297.06786598620607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45.565462046044502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45.565462046044502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193.69551240000018</v>
      </c>
      <c r="CA90" s="13">
        <f t="shared" si="93"/>
        <v>48.356059931736581</v>
      </c>
      <c r="CB90" s="20">
        <f t="shared" si="64"/>
        <v>421.5731551444415</v>
      </c>
      <c r="CC90" s="59">
        <f t="shared" si="65"/>
        <v>714.90648847777481</v>
      </c>
      <c r="CD90" s="59">
        <f ca="1">AVERAGE(OFFSET($CC$3,0,0,'Données projet'!$E$12+1,1))-AVERAGE(OFFSET($H$3,0,0,'Données projet'!$E$12+1,1))</f>
        <v>442.85175349826028</v>
      </c>
      <c r="CE90" s="59">
        <f t="shared" si="94"/>
        <v>210.70697808232501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37.153376745236287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37.153376745236287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9.2716666666666665</v>
      </c>
      <c r="N91" s="13">
        <f>IF('Données projet'!$A$36&gt;35,N90+M91-V90,IF(A91&lt;'Données projet'!$A$36,$K$205^A91,IF(A91='Données projet'!$A$36,'Données projet'!$B$36,N90+M91-V90)))</f>
        <v>338.25166666666667</v>
      </c>
      <c r="O91" s="13">
        <f>N91*VLOOKUP('Données projet'!$B$9,Paramètres!$A$1:$I$89,3,0)*VLOOKUP('Données projet'!$B$9,Paramètres!$A$1:$I$89,5,0)</f>
        <v>158.30178000000001</v>
      </c>
      <c r="P91" s="13">
        <f t="shared" si="87"/>
        <v>40.45923959226743</v>
      </c>
      <c r="Q91" s="20">
        <f t="shared" si="54"/>
        <v>346.17544245653244</v>
      </c>
      <c r="R91" s="59">
        <f t="shared" si="55"/>
        <v>639.50877578986569</v>
      </c>
      <c r="S91" s="59">
        <f ca="1">AVERAGE(OFFSET($R$3,0,0,'Données projet'!$E$9+1,1))-AVERAGE(OFFSET($H$3,0,0,'Données projet'!$E$9+1,1))</f>
        <v>289.01603252482897</v>
      </c>
      <c r="T91" s="59">
        <f t="shared" si="88"/>
        <v>233.84231920589906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66.514321214153156</v>
      </c>
      <c r="AA91" s="21">
        <f>EXP(-LN(2)/25)*AA90+(1-EXP(-LN(2)/25))/(LN(2)/25)*Calculateur!V91*Calculateur!X91*VLOOKUP('Données projet'!$B$9,Paramètres!$A$1:$I$89,3,0)*0.475*44/12</f>
        <v>25.091226974001124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91.605548188154273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268.76541120000024</v>
      </c>
      <c r="AK91" s="13">
        <f t="shared" si="89"/>
        <v>64.587188539623412</v>
      </c>
      <c r="AL91" s="20">
        <f t="shared" si="58"/>
        <v>580.58911121317794</v>
      </c>
      <c r="AM91" s="59">
        <f t="shared" si="59"/>
        <v>873.92244454651131</v>
      </c>
      <c r="AN91" s="59">
        <f ca="1">AVERAGE(OFFSET($AM$3,0,0,'Données projet'!$E$10+1,1))-AVERAGE(OFFSET($H$3,0,0,'Données projet'!$E$10+1,1))</f>
        <v>581.88778927327667</v>
      </c>
      <c r="AO91" s="59">
        <f t="shared" si="90"/>
        <v>269.67340993773422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39.861125621469718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39.861125621469718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301.20261600000032</v>
      </c>
      <c r="BF91" s="13">
        <f t="shared" si="91"/>
        <v>71.428519249633297</v>
      </c>
      <c r="BG91" s="20">
        <f t="shared" si="61"/>
        <v>648.99922722644521</v>
      </c>
      <c r="BH91" s="59">
        <f t="shared" si="62"/>
        <v>942.33256055977859</v>
      </c>
      <c r="BI91" s="59">
        <f ca="1">AVERAGE(OFFSET($BH$3,0,0,'Données projet'!$E$11+1,1))-AVERAGE(OFFSET($H$3,0,0,'Données projet'!$E$11+1,1))</f>
        <v>646.50767193970182</v>
      </c>
      <c r="BJ91" s="59">
        <f t="shared" si="92"/>
        <v>297.06786598620607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44.671951127509168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44.671951127509168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199.25711520000019</v>
      </c>
      <c r="CA91" s="13">
        <f t="shared" si="93"/>
        <v>49.580868788109186</v>
      </c>
      <c r="CB91" s="20">
        <f t="shared" si="64"/>
        <v>433.39282211262383</v>
      </c>
      <c r="CC91" s="59">
        <f t="shared" si="65"/>
        <v>726.72615544595715</v>
      </c>
      <c r="CD91" s="59">
        <f ca="1">AVERAGE(OFFSET($CC$3,0,0,'Données projet'!$E$12+1,1))-AVERAGE(OFFSET($H$3,0,0,'Données projet'!$E$12+1,1))</f>
        <v>442.85175349826028</v>
      </c>
      <c r="CE91" s="59">
        <f t="shared" si="94"/>
        <v>210.70697808232501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36.424821688584395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36.424821688584395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9.2716666666666665</v>
      </c>
      <c r="N92" s="13">
        <f>IF('Données projet'!$A$36&gt;35,N91+M92-V91,IF(A92&lt;'Données projet'!$A$36,$K$205^A92,IF(A92='Données projet'!$A$36,'Données projet'!$B$36,N91+M92-V91)))</f>
        <v>347.52333333333331</v>
      </c>
      <c r="O92" s="13">
        <f>N92*VLOOKUP('Données projet'!$B$9,Paramètres!$A$1:$I$89,3,0)*VLOOKUP('Données projet'!$B$9,Paramètres!$A$1:$I$89,5,0)</f>
        <v>162.64091999999999</v>
      </c>
      <c r="P92" s="13">
        <f t="shared" si="87"/>
        <v>41.437613550517717</v>
      </c>
      <c r="Q92" s="20">
        <f t="shared" si="54"/>
        <v>355.43677926715168</v>
      </c>
      <c r="R92" s="59">
        <f t="shared" si="55"/>
        <v>648.77011260048494</v>
      </c>
      <c r="S92" s="59">
        <f ca="1">AVERAGE(OFFSET($R$3,0,0,'Données projet'!$E$9+1,1))-AVERAGE(OFFSET($H$3,0,0,'Données projet'!$E$9+1,1))</f>
        <v>289.01603252482897</v>
      </c>
      <c r="T92" s="59">
        <f t="shared" si="88"/>
        <v>233.84231920589906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65.210015944873632</v>
      </c>
      <c r="AA92" s="21">
        <f>EXP(-LN(2)/25)*AA91+(1-EXP(-LN(2)/25))/(LN(2)/25)*Calculateur!V92*Calculateur!X92*VLOOKUP('Données projet'!$B$9,Paramètres!$A$1:$I$89,3,0)*0.475*44/12</f>
        <v>24.405106052906785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89.61512199778042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276.26710800000023</v>
      </c>
      <c r="AK92" s="13">
        <f t="shared" si="89"/>
        <v>66.177526346547864</v>
      </c>
      <c r="AL92" s="20">
        <f t="shared" si="58"/>
        <v>596.42440482023801</v>
      </c>
      <c r="AM92" s="59">
        <f t="shared" si="59"/>
        <v>889.75773815357138</v>
      </c>
      <c r="AN92" s="59">
        <f ca="1">AVERAGE(OFFSET($AM$3,0,0,'Données projet'!$E$10+1,1))-AVERAGE(OFFSET($H$3,0,0,'Données projet'!$E$10+1,1))</f>
        <v>581.88778927327667</v>
      </c>
      <c r="AO92" s="59">
        <f t="shared" si="90"/>
        <v>269.67340993773422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39.079473260918625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39.079473260918625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309.60969000000028</v>
      </c>
      <c r="BF92" s="13">
        <f t="shared" si="91"/>
        <v>73.187311933195204</v>
      </c>
      <c r="BG92" s="20">
        <f t="shared" si="61"/>
        <v>666.70477836698205</v>
      </c>
      <c r="BH92" s="59">
        <f t="shared" si="62"/>
        <v>960.03811170031531</v>
      </c>
      <c r="BI92" s="59">
        <f ca="1">AVERAGE(OFFSET($BH$3,0,0,'Données projet'!$E$11+1,1))-AVERAGE(OFFSET($H$3,0,0,'Données projet'!$E$11+1,1))</f>
        <v>646.50767193970182</v>
      </c>
      <c r="BJ92" s="59">
        <f t="shared" si="92"/>
        <v>297.06786598620607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43.79596141309846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43.79596141309846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204.81871800000019</v>
      </c>
      <c r="CA92" s="13">
        <f t="shared" si="93"/>
        <v>50.801704249704173</v>
      </c>
      <c r="CB92" s="20">
        <f t="shared" si="64"/>
        <v>445.20556875156836</v>
      </c>
      <c r="CC92" s="59">
        <f t="shared" si="65"/>
        <v>738.53890208490168</v>
      </c>
      <c r="CD92" s="59">
        <f ca="1">AVERAGE(OFFSET($CC$3,0,0,'Données projet'!$E$12+1,1))-AVERAGE(OFFSET($H$3,0,0,'Données projet'!$E$12+1,1))</f>
        <v>442.85175349826028</v>
      </c>
      <c r="CE92" s="59">
        <f t="shared" si="94"/>
        <v>210.70697808232501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35.710553152218743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35.710553152218743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9.2716666666666665</v>
      </c>
      <c r="N93" s="13">
        <f>IF('Données projet'!$A$36&gt;35,N92+M93-V92,IF(A93&lt;'Données projet'!$A$36,$K$205^A93,IF(A93='Données projet'!$A$36,'Données projet'!$B$36,N92+M93-V92)))</f>
        <v>356.79499999999996</v>
      </c>
      <c r="O93" s="13">
        <f>N93*VLOOKUP('Données projet'!$B$9,Paramètres!$A$1:$I$89,3,0)*VLOOKUP('Données projet'!$B$9,Paramètres!$A$1:$I$89,5,0)</f>
        <v>166.98005999999998</v>
      </c>
      <c r="P93" s="13">
        <f t="shared" si="87"/>
        <v>42.412953533869</v>
      </c>
      <c r="Q93" s="20">
        <f t="shared" si="54"/>
        <v>364.69283190482179</v>
      </c>
      <c r="R93" s="59">
        <f t="shared" si="55"/>
        <v>658.02616523815504</v>
      </c>
      <c r="S93" s="59">
        <f ca="1">AVERAGE(OFFSET($R$3,0,0,'Données projet'!$E$9+1,1))-AVERAGE(OFFSET($H$3,0,0,'Données projet'!$E$9+1,1))</f>
        <v>289.01603252482897</v>
      </c>
      <c r="T93" s="59">
        <f t="shared" si="88"/>
        <v>233.84231920589906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63.931287306377016</v>
      </c>
      <c r="AA93" s="21">
        <f>EXP(-LN(2)/25)*AA92+(1-EXP(-LN(2)/25))/(LN(2)/25)*Calculateur!V93*Calculateur!X93*VLOOKUP('Données projet'!$B$9,Paramètres!$A$1:$I$89,3,0)*0.475*44/12</f>
        <v>23.7377471444813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87.669034450858319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283.76880480000023</v>
      </c>
      <c r="AK93" s="13">
        <f t="shared" si="89"/>
        <v>67.762844856024827</v>
      </c>
      <c r="AL93" s="20">
        <f t="shared" si="58"/>
        <v>612.2509564842436</v>
      </c>
      <c r="AM93" s="59">
        <f t="shared" si="59"/>
        <v>905.58428981757697</v>
      </c>
      <c r="AN93" s="59">
        <f ca="1">AVERAGE(OFFSET($AM$3,0,0,'Données projet'!$E$10+1,1))-AVERAGE(OFFSET($H$3,0,0,'Données projet'!$E$10+1,1))</f>
        <v>581.88778927327667</v>
      </c>
      <c r="AO93" s="59">
        <f t="shared" si="90"/>
        <v>269.67340993773422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38.31314862639708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38.31314862639708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318.01676400000025</v>
      </c>
      <c r="BF93" s="13">
        <f t="shared" si="91"/>
        <v>74.940553655452632</v>
      </c>
      <c r="BG93" s="20">
        <f t="shared" si="61"/>
        <v>684.40066158324714</v>
      </c>
      <c r="BH93" s="59">
        <f t="shared" si="62"/>
        <v>977.73399491658051</v>
      </c>
      <c r="BI93" s="59">
        <f ca="1">AVERAGE(OFFSET($BH$3,0,0,'Données projet'!$E$11+1,1))-AVERAGE(OFFSET($H$3,0,0,'Données projet'!$E$11+1,1))</f>
        <v>646.50767193970182</v>
      </c>
      <c r="BJ93" s="59">
        <f t="shared" si="92"/>
        <v>297.06786598620607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42.937149322686381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42.937149322686381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210.38032080000019</v>
      </c>
      <c r="CA93" s="13">
        <f t="shared" si="93"/>
        <v>52.018686607707167</v>
      </c>
      <c r="CB93" s="20">
        <f t="shared" si="64"/>
        <v>457.01160456842371</v>
      </c>
      <c r="CC93" s="59">
        <f t="shared" si="65"/>
        <v>750.34493790175702</v>
      </c>
      <c r="CD93" s="59">
        <f ca="1">AVERAGE(OFFSET($CC$3,0,0,'Données projet'!$E$12+1,1))-AVERAGE(OFFSET($H$3,0,0,'Données projet'!$E$12+1,1))</f>
        <v>442.85175349826028</v>
      </c>
      <c r="CE93" s="59">
        <f t="shared" si="94"/>
        <v>210.70697808232501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35.010290986190434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35.010290986190434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9.2716666666666665</v>
      </c>
      <c r="N94" s="13">
        <f>IF('Données projet'!$A$36&gt;35,N93+M94-V93,IF(A94&lt;'Données projet'!$A$36,$K$205^A94,IF(A94='Données projet'!$A$36,'Données projet'!$B$36,N93+M94-V93)))</f>
        <v>366.06666666666661</v>
      </c>
      <c r="O94" s="13">
        <f>N94*VLOOKUP('Données projet'!$B$9,Paramètres!$A$1:$I$89,3,0)*VLOOKUP('Données projet'!$B$9,Paramètres!$A$1:$I$89,5,0)</f>
        <v>171.31919999999997</v>
      </c>
      <c r="P94" s="13">
        <f t="shared" si="87"/>
        <v>43.385347447233634</v>
      </c>
      <c r="Q94" s="20">
        <f t="shared" si="54"/>
        <v>373.94375347059849</v>
      </c>
      <c r="R94" s="59">
        <f t="shared" si="55"/>
        <v>667.27708680393175</v>
      </c>
      <c r="S94" s="59">
        <f ca="1">AVERAGE(OFFSET($R$3,0,0,'Données projet'!$E$9+1,1))-AVERAGE(OFFSET($H$3,0,0,'Données projet'!$E$9+1,1))</f>
        <v>289.01603252482897</v>
      </c>
      <c r="T94" s="59">
        <f t="shared" si="88"/>
        <v>233.84231920589906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62.677633756533858</v>
      </c>
      <c r="AA94" s="21">
        <f>EXP(-LN(2)/25)*AA93+(1-EXP(-LN(2)/25))/(LN(2)/25)*Calculateur!V94*Calculateur!X94*VLOOKUP('Données projet'!$B$9,Paramètres!$A$1:$I$89,3,0)*0.475*44/12</f>
        <v>23.088637200501591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85.766270957035445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291.27050160000022</v>
      </c>
      <c r="AK94" s="13">
        <f t="shared" si="89"/>
        <v>69.343292010233441</v>
      </c>
      <c r="AL94" s="20">
        <f t="shared" si="58"/>
        <v>628.0690238711569</v>
      </c>
      <c r="AM94" s="59">
        <f t="shared" si="59"/>
        <v>921.40235720449027</v>
      </c>
      <c r="AN94" s="59">
        <f ca="1">AVERAGE(OFFSET($AM$3,0,0,'Données projet'!$E$10+1,1))-AVERAGE(OFFSET($H$3,0,0,'Données projet'!$E$10+1,1))</f>
        <v>581.88778927327667</v>
      </c>
      <c r="AO94" s="59">
        <f t="shared" si="90"/>
        <v>269.67340993773422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37.561851150546623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37.561851150546623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326.42383800000027</v>
      </c>
      <c r="BF94" s="13">
        <f t="shared" si="91"/>
        <v>76.688408029206073</v>
      </c>
      <c r="BG94" s="20">
        <f t="shared" si="61"/>
        <v>702.08716183420108</v>
      </c>
      <c r="BH94" s="59">
        <f t="shared" si="62"/>
        <v>995.42049516753445</v>
      </c>
      <c r="BI94" s="59">
        <f ca="1">AVERAGE(OFFSET($BH$3,0,0,'Données projet'!$E$11+1,1))-AVERAGE(OFFSET($H$3,0,0,'Données projet'!$E$11+1,1))</f>
        <v>646.50767193970182</v>
      </c>
      <c r="BJ94" s="59">
        <f t="shared" si="92"/>
        <v>297.06786598620607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42.095178013543631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42.095178013543631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215.94192360000017</v>
      </c>
      <c r="CA94" s="13">
        <f t="shared" si="93"/>
        <v>53.231929431108412</v>
      </c>
      <c r="CB94" s="20">
        <f t="shared" si="64"/>
        <v>468.81112736251407</v>
      </c>
      <c r="CC94" s="59">
        <f t="shared" si="65"/>
        <v>762.14446069584733</v>
      </c>
      <c r="CD94" s="59">
        <f ca="1">AVERAGE(OFFSET($CC$3,0,0,'Données projet'!$E$12+1,1))-AVERAGE(OFFSET($H$3,0,0,'Données projet'!$E$12+1,1))</f>
        <v>442.85175349826028</v>
      </c>
      <c r="CE94" s="59">
        <f t="shared" si="94"/>
        <v>210.70697808232501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34.32376053412019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34.32376053412019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9.2716666666666665</v>
      </c>
      <c r="N95" s="13">
        <f>IF('Données projet'!$A$36&gt;35,N94+M95-V94,IF(A95&lt;'Données projet'!$A$36,$K$205^A95,IF(A95='Données projet'!$A$36,'Données projet'!$B$36,N94+M95-V94)))</f>
        <v>375.33833333333325</v>
      </c>
      <c r="O95" s="13">
        <f>N95*VLOOKUP('Données projet'!$B$9,Paramètres!$A$1:$I$89,3,0)*VLOOKUP('Données projet'!$B$9,Paramètres!$A$1:$I$89,5,0)</f>
        <v>175.65833999999998</v>
      </c>
      <c r="P95" s="13">
        <f t="shared" si="87"/>
        <v>44.354878488910238</v>
      </c>
      <c r="Q95" s="20">
        <f t="shared" si="54"/>
        <v>383.18968886818521</v>
      </c>
      <c r="R95" s="59">
        <f t="shared" si="55"/>
        <v>676.52302220151853</v>
      </c>
      <c r="S95" s="59">
        <f ca="1">AVERAGE(OFFSET($R$3,0,0,'Données projet'!$E$9+1,1))-AVERAGE(OFFSET($H$3,0,0,'Données projet'!$E$9+1,1))</f>
        <v>289.01603252482897</v>
      </c>
      <c r="T95" s="59">
        <f t="shared" si="88"/>
        <v>233.84231920589906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61.448563588149966</v>
      </c>
      <c r="AA95" s="21">
        <f>EXP(-LN(2)/25)*AA94+(1-EXP(-LN(2)/25))/(LN(2)/25)*Calculateur!V95*Calculateur!X95*VLOOKUP('Données projet'!$B$9,Paramètres!$A$1:$I$89,3,0)*0.475*44/12</f>
        <v>22.457277202075215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83.905840790225184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298.77219840000021</v>
      </c>
      <c r="AK95" s="13">
        <f t="shared" si="89"/>
        <v>70.919007696700163</v>
      </c>
      <c r="AL95" s="20">
        <f t="shared" si="58"/>
        <v>643.87885061841985</v>
      </c>
      <c r="AM95" s="59">
        <f t="shared" si="59"/>
        <v>937.2121839517531</v>
      </c>
      <c r="AN95" s="59">
        <f ca="1">AVERAGE(OFFSET($AM$3,0,0,'Données projet'!$E$10+1,1))-AVERAGE(OFFSET($H$3,0,0,'Données projet'!$E$10+1,1))</f>
        <v>581.88778927327667</v>
      </c>
      <c r="AO95" s="59">
        <f t="shared" si="90"/>
        <v>269.67340993773422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36.825286159951382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36.825286159951382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334.8309120000003</v>
      </c>
      <c r="BF95" s="13">
        <f t="shared" si="91"/>
        <v>78.431029759422557</v>
      </c>
      <c r="BG95" s="20">
        <f t="shared" si="61"/>
        <v>719.76454856432804</v>
      </c>
      <c r="BH95" s="59">
        <f t="shared" si="62"/>
        <v>1013.0978818976614</v>
      </c>
      <c r="BI95" s="59">
        <f ca="1">AVERAGE(OFFSET($BH$3,0,0,'Données projet'!$E$11+1,1))-AVERAGE(OFFSET($H$3,0,0,'Données projet'!$E$11+1,1))</f>
        <v>646.50767193970182</v>
      </c>
      <c r="BJ95" s="59">
        <f t="shared" si="92"/>
        <v>297.06786598620607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41.269717248221383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41.269717248221383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221.5035264000002</v>
      </c>
      <c r="CA95" s="13">
        <f t="shared" si="93"/>
        <v>54.441540105679579</v>
      </c>
      <c r="CB95" s="20">
        <f t="shared" si="64"/>
        <v>480.60432416405894</v>
      </c>
      <c r="CC95" s="59">
        <f t="shared" si="65"/>
        <v>773.93765749739225</v>
      </c>
      <c r="CD95" s="59">
        <f ca="1">AVERAGE(OFFSET($CC$3,0,0,'Données projet'!$E$12+1,1))-AVERAGE(OFFSET($H$3,0,0,'Données projet'!$E$12+1,1))</f>
        <v>442.85175349826028</v>
      </c>
      <c r="CE95" s="59">
        <f t="shared" si="94"/>
        <v>210.70697808232501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33.65069252547282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33.65069252547282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9.2716666666666665</v>
      </c>
      <c r="N96" s="13">
        <f>IF('Données projet'!$A$36&gt;35,N95+M96-V95,IF(A96&lt;'Données projet'!$A$36,$K$205^A96,IF(A96='Données projet'!$A$36,'Données projet'!$B$36,N95+M96-V95)))</f>
        <v>384.6099999999999</v>
      </c>
      <c r="O96" s="13">
        <f>N96*VLOOKUP('Données projet'!$B$9,Paramètres!$A$1:$I$89,3,0)*VLOOKUP('Données projet'!$B$9,Paramètres!$A$1:$I$89,5,0)</f>
        <v>179.99747999999997</v>
      </c>
      <c r="P96" s="13">
        <f t="shared" si="87"/>
        <v>45.321625512535455</v>
      </c>
      <c r="Q96" s="20">
        <f t="shared" si="54"/>
        <v>392.43077543433247</v>
      </c>
      <c r="R96" s="59">
        <f t="shared" si="55"/>
        <v>685.76410876766579</v>
      </c>
      <c r="S96" s="59">
        <f ca="1">AVERAGE(OFFSET($R$3,0,0,'Données projet'!$E$9+1,1))-AVERAGE(OFFSET($H$3,0,0,'Données projet'!$E$9+1,1))</f>
        <v>289.01603252482897</v>
      </c>
      <c r="T96" s="59">
        <f t="shared" si="88"/>
        <v>233.84231920589906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60.243594736109301</v>
      </c>
      <c r="AA96" s="21">
        <f>EXP(-LN(2)/25)*AA95+(1-EXP(-LN(2)/25))/(LN(2)/25)*Calculateur!V96*Calculateur!X96*VLOOKUP('Données projet'!$B$9,Paramètres!$A$1:$I$89,3,0)*0.475*44/12</f>
        <v>21.843181776007587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82.086776512116884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306.27389520000025</v>
      </c>
      <c r="AK96" s="13">
        <f t="shared" si="89"/>
        <v>72.490124377904692</v>
      </c>
      <c r="AL96" s="20">
        <f t="shared" si="58"/>
        <v>659.68066743151769</v>
      </c>
      <c r="AM96" s="59">
        <f t="shared" si="59"/>
        <v>953.01400076485106</v>
      </c>
      <c r="AN96" s="59">
        <f ca="1">AVERAGE(OFFSET($AM$3,0,0,'Données projet'!$E$10+1,1))-AVERAGE(OFFSET($H$3,0,0,'Données projet'!$E$10+1,1))</f>
        <v>581.88778927327667</v>
      </c>
      <c r="AO96" s="59">
        <f t="shared" si="90"/>
        <v>269.67340993773422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36.10316475956143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36.10316475956143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343.23798600000026</v>
      </c>
      <c r="BF96" s="13">
        <f t="shared" si="91"/>
        <v>80.16856533953208</v>
      </c>
      <c r="BG96" s="20">
        <f t="shared" si="61"/>
        <v>737.43307691635209</v>
      </c>
      <c r="BH96" s="59">
        <f t="shared" si="62"/>
        <v>1030.7664102496854</v>
      </c>
      <c r="BI96" s="59">
        <f ca="1">AVERAGE(OFFSET($BH$3,0,0,'Données projet'!$E$11+1,1))-AVERAGE(OFFSET($H$3,0,0,'Données projet'!$E$11+1,1))</f>
        <v>646.50767193970182</v>
      </c>
      <c r="BJ96" s="59">
        <f t="shared" si="92"/>
        <v>297.06786598620607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40.460443265025752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40.460443265025752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227.06512920000017</v>
      </c>
      <c r="CA96" s="13">
        <f t="shared" si="93"/>
        <v>55.64762031729645</v>
      </c>
      <c r="CB96" s="20">
        <f t="shared" si="64"/>
        <v>492.39137207595832</v>
      </c>
      <c r="CC96" s="59">
        <f t="shared" si="65"/>
        <v>785.72470540929157</v>
      </c>
      <c r="CD96" s="59">
        <f ca="1">AVERAGE(OFFSET($CC$3,0,0,'Données projet'!$E$12+1,1))-AVERAGE(OFFSET($H$3,0,0,'Données projet'!$E$12+1,1))</f>
        <v>442.85175349826028</v>
      </c>
      <c r="CE96" s="59">
        <f t="shared" si="94"/>
        <v>210.70697808232501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32.990822969944077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32.990822969944077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9.2716666666666665</v>
      </c>
      <c r="N97" s="13">
        <f>IF('Données projet'!$A$36&gt;35,N96+M97-V96,IF(A97&lt;'Données projet'!$A$36,$K$205^A97,IF(A97='Données projet'!$A$36,'Données projet'!$B$36,N96+M97-V96)))</f>
        <v>393.88166666666655</v>
      </c>
      <c r="O97" s="13">
        <f>N97*VLOOKUP('Données projet'!$B$9,Paramètres!$A$1:$I$89,3,0)*VLOOKUP('Données projet'!$B$9,Paramètres!$A$1:$I$89,5,0)</f>
        <v>184.33661999999995</v>
      </c>
      <c r="P97" s="13">
        <f t="shared" si="87"/>
        <v>46.285663353150817</v>
      </c>
      <c r="Q97" s="20">
        <f t="shared" si="54"/>
        <v>401.66714350673755</v>
      </c>
      <c r="R97" s="59">
        <f t="shared" si="55"/>
        <v>695.00047684007086</v>
      </c>
      <c r="S97" s="59">
        <f ca="1">AVERAGE(OFFSET($R$3,0,0,'Données projet'!$E$9+1,1))-AVERAGE(OFFSET($H$3,0,0,'Données projet'!$E$9+1,1))</f>
        <v>289.01603252482897</v>
      </c>
      <c r="T97" s="59">
        <f t="shared" si="88"/>
        <v>233.84231920589906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59.062254588298721</v>
      </c>
      <c r="AA97" s="21">
        <f>EXP(-LN(2)/25)*AA96+(1-EXP(-LN(2)/25))/(LN(2)/25)*Calculateur!V97*Calculateur!X97*VLOOKUP('Données projet'!$B$9,Paramètres!$A$1:$I$89,3,0)*0.475*44/12</f>
        <v>21.245878821659652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80.308133409958373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313.77559200000019</v>
      </c>
      <c r="AK97" s="13">
        <f t="shared" si="89"/>
        <v>74.056767657464533</v>
      </c>
      <c r="AL97" s="20">
        <f t="shared" si="58"/>
        <v>675.47469307008441</v>
      </c>
      <c r="AM97" s="59">
        <f t="shared" si="59"/>
        <v>968.80802640341767</v>
      </c>
      <c r="AN97" s="59">
        <f ca="1">AVERAGE(OFFSET($AM$3,0,0,'Données projet'!$E$10+1,1))-AVERAGE(OFFSET($H$3,0,0,'Données projet'!$E$10+1,1))</f>
        <v>581.88778927327667</v>
      </c>
      <c r="AO97" s="59">
        <f t="shared" si="90"/>
        <v>269.67340993773422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51.356167505910733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51.356167505910733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351.64506000000029</v>
      </c>
      <c r="BF97" s="13">
        <f t="shared" si="91"/>
        <v>81.901153677584574</v>
      </c>
      <c r="BG97" s="20">
        <f t="shared" si="61"/>
        <v>755.09298882179371</v>
      </c>
      <c r="BH97" s="59">
        <f t="shared" si="62"/>
        <v>1048.4263221551271</v>
      </c>
      <c r="BI97" s="59">
        <f ca="1">AVERAGE(OFFSET($BH$3,0,0,'Données projet'!$E$11+1,1))-AVERAGE(OFFSET($H$3,0,0,'Données projet'!$E$11+1,1))</f>
        <v>646.50767193970182</v>
      </c>
      <c r="BJ97" s="59">
        <f t="shared" si="92"/>
        <v>297.06786598620607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57.554325653175837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57.554325653175837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232.62673200000017</v>
      </c>
      <c r="CA97" s="13">
        <f t="shared" si="93"/>
        <v>56.850266486574739</v>
      </c>
      <c r="CB97" s="20">
        <f t="shared" si="64"/>
        <v>504.17243903078469</v>
      </c>
      <c r="CC97" s="59">
        <f t="shared" si="65"/>
        <v>797.505772364118</v>
      </c>
      <c r="CD97" s="59">
        <f ca="1">AVERAGE(OFFSET($CC$3,0,0,'Données projet'!$E$12+1,1))-AVERAGE(OFFSET($H$3,0,0,'Données projet'!$E$12+1,1))</f>
        <v>442.85175349826028</v>
      </c>
      <c r="CE97" s="59">
        <f t="shared" si="94"/>
        <v>210.70697808232501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0.318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46.92891168643569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46.92891168643569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9.2716666666666665</v>
      </c>
      <c r="N98" s="13">
        <f>IF('Données projet'!$A$36&gt;35,N97+M98-V97,IF(A98&lt;'Données projet'!$A$36,$K$205^A98,IF(A98='Données projet'!$A$36,'Données projet'!$B$36,N97+M98-V97)))</f>
        <v>403.15333333333319</v>
      </c>
      <c r="O98" s="13">
        <f>N98*VLOOKUP('Données projet'!$B$9,Paramètres!$A$1:$I$89,3,0)*VLOOKUP('Données projet'!$B$9,Paramètres!$A$1:$I$89,5,0)</f>
        <v>188.67575999999994</v>
      </c>
      <c r="P98" s="13">
        <f t="shared" si="87"/>
        <v>47.247063121703242</v>
      </c>
      <c r="Q98" s="20">
        <f t="shared" si="54"/>
        <v>410.89891693696637</v>
      </c>
      <c r="R98" s="59">
        <f t="shared" si="55"/>
        <v>704.23225027029969</v>
      </c>
      <c r="S98" s="59">
        <f ca="1">AVERAGE(OFFSET($R$3,0,0,'Données projet'!$E$9+1,1))-AVERAGE(OFFSET($H$3,0,0,'Données projet'!$E$9+1,1))</f>
        <v>289.01603252482897</v>
      </c>
      <c r="T98" s="59">
        <f t="shared" si="88"/>
        <v>233.84231920589906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57.904079800240368</v>
      </c>
      <c r="AA98" s="21">
        <f>EXP(-LN(2)/25)*AA97+(1-EXP(-LN(2)/25))/(LN(2)/25)*Calculateur!V98*Calculateur!X98*VLOOKUP('Données projet'!$B$9,Paramètres!$A$1:$I$89,3,0)*0.475*44/12</f>
        <v>20.664909148009158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78.568988948249526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265.09463760000023</v>
      </c>
      <c r="AK98" s="13">
        <f t="shared" si="89"/>
        <v>63.807119294189917</v>
      </c>
      <c r="AL98" s="20">
        <f t="shared" si="58"/>
        <v>572.83722659071452</v>
      </c>
      <c r="AM98" s="59">
        <f t="shared" si="59"/>
        <v>866.17055992404789</v>
      </c>
      <c r="AN98" s="59">
        <f ca="1">AVERAGE(OFFSET($AM$3,0,0,'Données projet'!$E$10+1,1))-AVERAGE(OFFSET($H$3,0,0,'Données projet'!$E$10+1,1))</f>
        <v>581.88778927327667</v>
      </c>
      <c r="AO98" s="59">
        <f t="shared" si="90"/>
        <v>269.67340993773422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50.349104385288996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50.349104385288996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297.08881800000029</v>
      </c>
      <c r="BF98" s="13">
        <f t="shared" si="91"/>
        <v>70.565821981438845</v>
      </c>
      <c r="BG98" s="20">
        <f t="shared" si="61"/>
        <v>640.33183130100645</v>
      </c>
      <c r="BH98" s="59">
        <f t="shared" si="62"/>
        <v>933.66516463433982</v>
      </c>
      <c r="BI98" s="59">
        <f ca="1">AVERAGE(OFFSET($BH$3,0,0,'Données projet'!$E$11+1,1))-AVERAGE(OFFSET($H$3,0,0,'Données projet'!$E$11+1,1))</f>
        <v>646.50767193970182</v>
      </c>
      <c r="BJ98" s="59">
        <f t="shared" si="92"/>
        <v>297.06786598620607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56.425720431789408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56.425720431789408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196.53567960000018</v>
      </c>
      <c r="CA98" s="13">
        <f t="shared" si="93"/>
        <v>48.982042429848526</v>
      </c>
      <c r="CB98" s="20">
        <f t="shared" si="64"/>
        <v>427.61003253531982</v>
      </c>
      <c r="CC98" s="59">
        <f t="shared" si="65"/>
        <v>720.94336586865313</v>
      </c>
      <c r="CD98" s="59">
        <f ca="1">AVERAGE(OFFSET($CC$3,0,0,'Données projet'!$E$12+1,1))-AVERAGE(OFFSET($H$3,0,0,'Données projet'!$E$12+1,1))</f>
        <v>442.85175349826028</v>
      </c>
      <c r="CE98" s="59">
        <f t="shared" si="94"/>
        <v>210.70697808232501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46.008664352074447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46.008664352074447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9.2716666666666665</v>
      </c>
      <c r="N99" s="13">
        <f>IF('Données projet'!$A$36&gt;35,N98+M99-V98,IF(A99&lt;'Données projet'!$A$36,$K$205^A99,IF(A99='Données projet'!$A$36,'Données projet'!$B$36,N98+M99-V98)))</f>
        <v>412.42499999999984</v>
      </c>
      <c r="O99" s="13">
        <f>N99*VLOOKUP('Données projet'!$B$9,Paramètres!$A$1:$I$89,3,0)*VLOOKUP('Données projet'!$B$9,Paramètres!$A$1:$I$89,5,0)</f>
        <v>193.01489999999993</v>
      </c>
      <c r="P99" s="13">
        <f t="shared" si="87"/>
        <v>48.205892471690547</v>
      </c>
      <c r="Q99" s="20">
        <f t="shared" ref="Q99:Q130" si="107">(O99+P99)*0.475*44/12</f>
        <v>420.1262135548609</v>
      </c>
      <c r="R99" s="59">
        <f t="shared" si="55"/>
        <v>713.45954688819415</v>
      </c>
      <c r="S99" s="59">
        <f ca="1">AVERAGE(OFFSET($R$3,0,0,'Données projet'!$E$9+1,1))-AVERAGE(OFFSET($H$3,0,0,'Données projet'!$E$9+1,1))</f>
        <v>289.01603252482897</v>
      </c>
      <c r="T99" s="59">
        <f t="shared" si="88"/>
        <v>233.84231920589906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56.768616113358966</v>
      </c>
      <c r="AA99" s="21">
        <f>EXP(-LN(2)/25)*AA98+(1-EXP(-LN(2)/25))/(LN(2)/25)*Calculateur!V99*Calculateur!X99*VLOOKUP('Données projet'!$B$9,Paramètres!$A$1:$I$89,3,0)*0.475*44/12</f>
        <v>20.099826120636507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76.868442233995466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272.37556320000027</v>
      </c>
      <c r="AK99" s="13">
        <f t="shared" si="89"/>
        <v>65.35316643513535</v>
      </c>
      <c r="AL99" s="20">
        <f t="shared" si="58"/>
        <v>588.21087078119456</v>
      </c>
      <c r="AM99" s="59">
        <f t="shared" si="59"/>
        <v>881.54420411452793</v>
      </c>
      <c r="AN99" s="59">
        <f ca="1">AVERAGE(OFFSET($AM$3,0,0,'Données projet'!$E$10+1,1))-AVERAGE(OFFSET($H$3,0,0,'Données projet'!$E$10+1,1))</f>
        <v>581.88778927327667</v>
      </c>
      <c r="AO99" s="59">
        <f t="shared" si="90"/>
        <v>269.67340993773422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49.361789158214798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49.361789158214798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305.24847600000032</v>
      </c>
      <c r="BF99" s="13">
        <f t="shared" si="91"/>
        <v>72.275632556335026</v>
      </c>
      <c r="BG99" s="20">
        <f t="shared" si="61"/>
        <v>657.52115573561741</v>
      </c>
      <c r="BH99" s="59">
        <f t="shared" si="62"/>
        <v>950.85448906895067</v>
      </c>
      <c r="BI99" s="59">
        <f ca="1">AVERAGE(OFFSET($BH$3,0,0,'Données projet'!$E$11+1,1))-AVERAGE(OFFSET($H$3,0,0,'Données projet'!$E$11+1,1))</f>
        <v>646.50767193970182</v>
      </c>
      <c r="BJ99" s="59">
        <f t="shared" si="92"/>
        <v>297.06786598620607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55.319246470413155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55.319246470413155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201.93360720000021</v>
      </c>
      <c r="CA99" s="13">
        <f t="shared" si="93"/>
        <v>50.168877809568144</v>
      </c>
      <c r="CB99" s="20">
        <f t="shared" si="64"/>
        <v>439.07849472499817</v>
      </c>
      <c r="CC99" s="59">
        <f t="shared" si="65"/>
        <v>732.41182805833148</v>
      </c>
      <c r="CD99" s="59">
        <f ca="1">AVERAGE(OFFSET($CC$3,0,0,'Données projet'!$E$12+1,1))-AVERAGE(OFFSET($H$3,0,0,'Données projet'!$E$12+1,1))</f>
        <v>442.85175349826028</v>
      </c>
      <c r="CE99" s="59">
        <f t="shared" si="94"/>
        <v>210.70697808232501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45.106462506644576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45.106462506644576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9.2716666666666665</v>
      </c>
      <c r="N100" s="13">
        <f>IF('Données projet'!$A$36&gt;35,N99+M100-V99,IF(A100&lt;'Données projet'!$A$36,$K$205^A100,IF(A100='Données projet'!$A$36,'Données projet'!$B$36,N99+M100-V99)))</f>
        <v>421.69666666666649</v>
      </c>
      <c r="O100" s="13">
        <f>N100*VLOOKUP('Données projet'!$B$9,Paramètres!$A$1:$I$89,3,0)*VLOOKUP('Données projet'!$B$9,Paramètres!$A$1:$I$89,5,0)</f>
        <v>197.35403999999994</v>
      </c>
      <c r="P100" s="13">
        <f t="shared" si="87"/>
        <v>49.162215841153191</v>
      </c>
      <c r="Q100" s="20">
        <f t="shared" si="107"/>
        <v>429.34914559000839</v>
      </c>
      <c r="R100" s="59">
        <f t="shared" si="55"/>
        <v>722.68247892334171</v>
      </c>
      <c r="S100" s="59">
        <f ca="1">AVERAGE(OFFSET($R$3,0,0,'Données projet'!$E$9+1,1))-AVERAGE(OFFSET($H$3,0,0,'Données projet'!$E$9+1,1))</f>
        <v>289.01603252482897</v>
      </c>
      <c r="T100" s="59">
        <f t="shared" si="88"/>
        <v>233.84231920589906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55.655418176812852</v>
      </c>
      <c r="AA100" s="21">
        <f>EXP(-LN(2)/25)*AA99+(1-EXP(-LN(2)/25))/(LN(2)/25)*Calculateur!V100*Calculateur!X100*VLOOKUP('Données projet'!$B$9,Paramètres!$A$1:$I$89,3,0)*0.475*44/12</f>
        <v>19.550195318363784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75.205613495176635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279.65648880000026</v>
      </c>
      <c r="AK100" s="13">
        <f t="shared" si="89"/>
        <v>66.894409904113928</v>
      </c>
      <c r="AL100" s="20">
        <f t="shared" si="58"/>
        <v>603.57614857633223</v>
      </c>
      <c r="AM100" s="59">
        <f t="shared" si="59"/>
        <v>896.9094819096656</v>
      </c>
      <c r="AN100" s="59">
        <f ca="1">AVERAGE(OFFSET($AM$3,0,0,'Données projet'!$E$10+1,1))-AVERAGE(OFFSET($H$3,0,0,'Données projet'!$E$10+1,1))</f>
        <v>581.88778927327667</v>
      </c>
      <c r="AO100" s="59">
        <f t="shared" si="90"/>
        <v>269.67340993773422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48.393834580540698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48.393834580540698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313.4081340000003</v>
      </c>
      <c r="BF100" s="13">
        <f t="shared" si="91"/>
        <v>73.980130635311994</v>
      </c>
      <c r="BG100" s="20">
        <f t="shared" si="61"/>
        <v>674.70122757316892</v>
      </c>
      <c r="BH100" s="59">
        <f t="shared" si="62"/>
        <v>968.03456090650229</v>
      </c>
      <c r="BI100" s="59">
        <f ca="1">AVERAGE(OFFSET($BH$3,0,0,'Données projet'!$E$11+1,1))-AVERAGE(OFFSET($H$3,0,0,'Données projet'!$E$11+1,1))</f>
        <v>646.50767193970182</v>
      </c>
      <c r="BJ100" s="59">
        <f t="shared" si="92"/>
        <v>297.06786598620607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54.234469788537012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54.234469788537012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207.33153480000018</v>
      </c>
      <c r="CA100" s="13">
        <f t="shared" si="93"/>
        <v>51.352025612310428</v>
      </c>
      <c r="CB100" s="20">
        <f t="shared" si="64"/>
        <v>450.54053438477428</v>
      </c>
      <c r="CC100" s="59">
        <f t="shared" si="65"/>
        <v>743.87386771810759</v>
      </c>
      <c r="CD100" s="59">
        <f ca="1">AVERAGE(OFFSET($CC$3,0,0,'Données projet'!$E$12+1,1))-AVERAGE(OFFSET($H$3,0,0,'Données projet'!$E$12+1,1))</f>
        <v>442.85175349826028</v>
      </c>
      <c r="CE100" s="59">
        <f t="shared" si="94"/>
        <v>210.70697808232501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44.221952289114796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44.221952289114796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9.2716666666666665</v>
      </c>
      <c r="N101" s="13">
        <f>IF('Données projet'!$A$36&gt;35,N100+M101-V100,IF(A101&lt;'Données projet'!$A$36,$K$205^A101,IF(A101='Données projet'!$A$36,'Données projet'!$B$36,N100+M101-V100)))</f>
        <v>430.96833333333313</v>
      </c>
      <c r="O101" s="13">
        <f>N101*VLOOKUP('Données projet'!$B$9,Paramètres!$A$1:$I$89,3,0)*VLOOKUP('Données projet'!$B$9,Paramètres!$A$1:$I$89,5,0)</f>
        <v>201.69317999999993</v>
      </c>
      <c r="P101" s="13">
        <f t="shared" si="87"/>
        <v>50.116094672783646</v>
      </c>
      <c r="Q101" s="20">
        <f t="shared" si="107"/>
        <v>438.56782005509808</v>
      </c>
      <c r="R101" s="59">
        <f t="shared" si="55"/>
        <v>731.90115338843134</v>
      </c>
      <c r="S101" s="59">
        <f ca="1">AVERAGE(OFFSET($R$3,0,0,'Données projet'!$E$9+1,1))-AVERAGE(OFFSET($H$3,0,0,'Données projet'!$E$9+1,1))</f>
        <v>289.01603252482897</v>
      </c>
      <c r="T101" s="59">
        <f t="shared" si="88"/>
        <v>233.84231920589906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54.564049372818708</v>
      </c>
      <c r="AA101" s="21">
        <f>EXP(-LN(2)/25)*AA100+(1-EXP(-LN(2)/25))/(LN(2)/25)*Calculateur!V101*Calculateur!X101*VLOOKUP('Données projet'!$B$9,Paramètres!$A$1:$I$89,3,0)*0.475*44/12</f>
        <v>19.015594199283036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73.579643572101745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286.93741440000031</v>
      </c>
      <c r="AK101" s="13">
        <f t="shared" si="89"/>
        <v>68.430989143985158</v>
      </c>
      <c r="AL101" s="20">
        <f t="shared" si="58"/>
        <v>618.93330283910791</v>
      </c>
      <c r="AM101" s="59">
        <f t="shared" si="59"/>
        <v>912.26663617244117</v>
      </c>
      <c r="AN101" s="59">
        <f ca="1">AVERAGE(OFFSET($AM$3,0,0,'Données projet'!$E$10+1,1))-AVERAGE(OFFSET($H$3,0,0,'Données projet'!$E$10+1,1))</f>
        <v>581.88778927327667</v>
      </c>
      <c r="AO101" s="59">
        <f t="shared" si="90"/>
        <v>269.67340993773422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47.444861001740797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47.444861001740797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321.56779200000034</v>
      </c>
      <c r="BF101" s="13">
        <f t="shared" si="91"/>
        <v>75.679470431568902</v>
      </c>
      <c r="BG101" s="20">
        <f t="shared" si="61"/>
        <v>691.87231540164976</v>
      </c>
      <c r="BH101" s="59">
        <f t="shared" si="62"/>
        <v>985.20564873498301</v>
      </c>
      <c r="BI101" s="59">
        <f ca="1">AVERAGE(OFFSET($BH$3,0,0,'Données projet'!$E$11+1,1))-AVERAGE(OFFSET($H$3,0,0,'Données projet'!$E$11+1,1))</f>
        <v>646.50767193970182</v>
      </c>
      <c r="BJ101" s="59">
        <f t="shared" si="92"/>
        <v>297.06786598620607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53.170964915744015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53.170964915744015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212.72946240000022</v>
      </c>
      <c r="CA101" s="13">
        <f t="shared" si="93"/>
        <v>52.531592882495133</v>
      </c>
      <c r="CB101" s="20">
        <f t="shared" si="64"/>
        <v>461.99633795034606</v>
      </c>
      <c r="CC101" s="59">
        <f t="shared" si="65"/>
        <v>755.32967128367932</v>
      </c>
      <c r="CD101" s="59">
        <f ca="1">AVERAGE(OFFSET($CC$3,0,0,'Données projet'!$E$12+1,1))-AVERAGE(OFFSET($H$3,0,0,'Données projet'!$E$12+1,1))</f>
        <v>442.85175349826028</v>
      </c>
      <c r="CE101" s="59">
        <f t="shared" si="94"/>
        <v>210.70697808232501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43.354786777452816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43.354786777452816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440.24</v>
      </c>
      <c r="L102" s="12">
        <f>VLOOKUP(A102,'Données projet'!$A$35:$I$55,9,0)</f>
        <v>9.2716666666666665</v>
      </c>
      <c r="M102" s="12">
        <f t="array" ref="M102">INDEX(L:L,MIN(IF(ISNUMBER(L102:L298),ROW(L102:L298),"")))</f>
        <v>9.2716666666666665</v>
      </c>
      <c r="N102" s="13">
        <f>IF('Données projet'!$A$36&gt;35,N101+M102-V101,IF(A102&lt;'Données projet'!$A$36,$K$205^A102,IF(A102='Données projet'!$A$36,'Données projet'!$B$36,N101+M102-V101)))</f>
        <v>440.23999999999978</v>
      </c>
      <c r="O102" s="13">
        <f>N102*VLOOKUP('Données projet'!$B$9,Paramètres!$A$1:$I$89,3,0)*VLOOKUP('Données projet'!$B$9,Paramètres!$A$1:$I$89,5,0)</f>
        <v>206.03231999999991</v>
      </c>
      <c r="P102" s="13">
        <f t="shared" si="87"/>
        <v>51.067587614560068</v>
      </c>
      <c r="Q102" s="20">
        <f t="shared" si="107"/>
        <v>447.78233909535862</v>
      </c>
      <c r="R102" s="59">
        <f t="shared" si="55"/>
        <v>741.11567242869194</v>
      </c>
      <c r="S102" s="59">
        <f ca="1">AVERAGE(OFFSET($R$3,0,0,'Données projet'!$E$9+1,1))-AVERAGE(OFFSET($H$3,0,0,'Données projet'!$E$9+1,1))</f>
        <v>289.01603252482897</v>
      </c>
      <c r="T102" s="59">
        <f t="shared" si="88"/>
        <v>233.84231920589906</v>
      </c>
      <c r="U102" s="15">
        <f>IF(ISNA(VLOOKUP(A102,'Données projet'!$A$35:$I$55,3,0)),0,VLOOKUP(A102,'Données projet'!$A$35:$I$55,3,0))</f>
        <v>5</v>
      </c>
      <c r="V102" s="15">
        <f>IF(ISNA(VLOOKUP(A102,'Données projet'!$A$35:$I$55,4,0)),0,VLOOKUP(A102,'Données projet'!$A$35:$I$55,4,0))</f>
        <v>219.27</v>
      </c>
      <c r="W102" s="16">
        <f>IF(ISNA(VLOOKUP(A102,'Données projet'!$A$35:$I$55,5,0)),0%,VLOOKUP(A102,'Données projet'!$A$35:$I$55,5,0)*VLOOKUP('Données projet'!$B$9,Paramètres!$A$1:$I$89,7,0))</f>
        <v>0.38500000000000001</v>
      </c>
      <c r="X102" s="16">
        <f>IF(ISNA(VLOOKUP(A102,'Données projet'!$A$35:$I$55,6,0)),0%,VLOOKUP(A102,'Données projet'!$A$35:$I$55,6,0)*VLOOKUP('Données projet'!$B$9,Paramètres!$A$1:$I$89,7,0))</f>
        <v>0.16500000000000001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105.90408115322865</v>
      </c>
      <c r="AA102" s="21">
        <f>EXP(-LN(2)/25)*AA101+(1-EXP(-LN(2)/25))/(LN(2)/25)*Calculateur!V102*Calculateur!X102*VLOOKUP('Données projet'!$B$9,Paramètres!$A$1:$I$89,3,0)*0.475*44/12</f>
        <v>40.868600934483823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146.77268208771247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294.2183400000003</v>
      </c>
      <c r="AK102" s="13">
        <f t="shared" si="89"/>
        <v>69.963036117759913</v>
      </c>
      <c r="AL102" s="20">
        <f t="shared" si="58"/>
        <v>634.28256340509904</v>
      </c>
      <c r="AM102" s="59">
        <f t="shared" si="59"/>
        <v>927.61589673843241</v>
      </c>
      <c r="AN102" s="59">
        <f ca="1">AVERAGE(OFFSET($AM$3,0,0,'Données projet'!$E$10+1,1))-AVERAGE(OFFSET($H$3,0,0,'Données projet'!$E$10+1,1))</f>
        <v>581.88778927327667</v>
      </c>
      <c r="AO102" s="59">
        <f t="shared" si="90"/>
        <v>269.67340993773422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46.514496216004432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46.514496216004432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329.72745000000037</v>
      </c>
      <c r="BF102" s="13">
        <f t="shared" si="91"/>
        <v>77.373797886161128</v>
      </c>
      <c r="BG102" s="20">
        <f t="shared" si="61"/>
        <v>709.0346734017312</v>
      </c>
      <c r="BH102" s="59">
        <f t="shared" si="62"/>
        <v>1002.3680067350645</v>
      </c>
      <c r="BI102" s="59">
        <f ca="1">AVERAGE(OFFSET($BH$3,0,0,'Données projet'!$E$11+1,1))-AVERAGE(OFFSET($H$3,0,0,'Données projet'!$E$11+1,1))</f>
        <v>646.50767193970182</v>
      </c>
      <c r="BJ102" s="59">
        <f t="shared" si="92"/>
        <v>297.06786598620607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52.12831472483257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52.12831472483257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218.12739000000025</v>
      </c>
      <c r="CA102" s="13">
        <f t="shared" si="93"/>
        <v>53.707680922576678</v>
      </c>
      <c r="CB102" s="20">
        <f t="shared" si="64"/>
        <v>473.44608185682137</v>
      </c>
      <c r="CC102" s="59">
        <f t="shared" si="65"/>
        <v>766.77941519015462</v>
      </c>
      <c r="CD102" s="59">
        <f ca="1">AVERAGE(OFFSET($CC$3,0,0,'Données projet'!$E$12+1,1))-AVERAGE(OFFSET($H$3,0,0,'Données projet'!$E$12+1,1))</f>
        <v>442.85175349826028</v>
      </c>
      <c r="CE102" s="59">
        <f t="shared" si="94"/>
        <v>210.70697808232501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42.50462585255579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42.50462585255579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6.4510000000000023</v>
      </c>
      <c r="N103" s="13">
        <f>IF('Données projet'!$A$36&gt;35,N102+M103-V102,IF(A103&lt;'Données projet'!$A$36,$K$205^A103,IF(A103='Données projet'!$A$36,'Données projet'!$B$36,N102+M103-V102)))</f>
        <v>227.42099999999979</v>
      </c>
      <c r="O103" s="13">
        <f>N103*VLOOKUP('Données projet'!$B$9,Paramètres!$A$1:$I$89,3,0)*VLOOKUP('Données projet'!$B$9,Paramètres!$A$1:$I$89,5,0)</f>
        <v>106.43302799999989</v>
      </c>
      <c r="P103" s="13">
        <f t="shared" si="87"/>
        <v>28.488972614499939</v>
      </c>
      <c r="Q103" s="20">
        <f t="shared" si="107"/>
        <v>234.98915107025388</v>
      </c>
      <c r="R103" s="59">
        <f t="shared" si="55"/>
        <v>528.32248440358717</v>
      </c>
      <c r="S103" s="59">
        <f ca="1">AVERAGE(OFFSET($R$3,0,0,'Données projet'!$E$9+1,1))-AVERAGE(OFFSET($H$3,0,0,'Données projet'!$E$9+1,1))</f>
        <v>289.01603252482897</v>
      </c>
      <c r="T103" s="59">
        <f t="shared" si="88"/>
        <v>233.84231920589906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103.8273667169251</v>
      </c>
      <c r="AA103" s="21">
        <f>EXP(-LN(2)/25)*AA102+(1-EXP(-LN(2)/25))/(LN(2)/25)*Calculateur!V103*Calculateur!X103*VLOOKUP('Données projet'!$B$9,Paramètres!$A$1:$I$89,3,0)*0.475*44/12</f>
        <v>39.751046892744043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143.57841360966916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301.49926560000034</v>
      </c>
      <c r="AK103" s="13">
        <f t="shared" si="89"/>
        <v>71.490675884857296</v>
      </c>
      <c r="AL103" s="20">
        <f t="shared" si="58"/>
        <v>649.62414808612709</v>
      </c>
      <c r="AM103" s="59">
        <f t="shared" si="59"/>
        <v>942.95748141946046</v>
      </c>
      <c r="AN103" s="59">
        <f ca="1">AVERAGE(OFFSET($AM$3,0,0,'Données projet'!$E$10+1,1))-AVERAGE(OFFSET($H$3,0,0,'Données projet'!$E$10+1,1))</f>
        <v>581.88778927327667</v>
      </c>
      <c r="AO103" s="59">
        <f t="shared" si="90"/>
        <v>269.67340993773422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45.602375316249869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45.602375316249869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337.88710800000041</v>
      </c>
      <c r="BF103" s="13">
        <f t="shared" si="91"/>
        <v>79.063251305296689</v>
      </c>
      <c r="BG103" s="20">
        <f t="shared" si="61"/>
        <v>726.18854245672571</v>
      </c>
      <c r="BH103" s="59">
        <f t="shared" si="62"/>
        <v>1019.5218757900591</v>
      </c>
      <c r="BI103" s="59">
        <f ca="1">AVERAGE(OFFSET($BH$3,0,0,'Données projet'!$E$11+1,1))-AVERAGE(OFFSET($H$3,0,0,'Données projet'!$E$11+1,1))</f>
        <v>646.50767193970182</v>
      </c>
      <c r="BJ103" s="59">
        <f t="shared" si="92"/>
        <v>297.06786598620607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51.106110268211076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51.106110268211076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223.52531760000028</v>
      </c>
      <c r="CA103" s="13">
        <f t="shared" si="93"/>
        <v>54.880385735412574</v>
      </c>
      <c r="CB103" s="20">
        <f t="shared" si="64"/>
        <v>484.88993330917737</v>
      </c>
      <c r="CC103" s="59">
        <f t="shared" si="65"/>
        <v>778.22326664251068</v>
      </c>
      <c r="CD103" s="59">
        <f ca="1">AVERAGE(OFFSET($CC$3,0,0,'Données projet'!$E$12+1,1))-AVERAGE(OFFSET($H$3,0,0,'Données projet'!$E$12+1,1))</f>
        <v>442.85175349826028</v>
      </c>
      <c r="CE103" s="59">
        <f t="shared" si="94"/>
        <v>210.70697808232501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41.671136064849037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41.671136064849037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6.4510000000000023</v>
      </c>
      <c r="N104" s="13">
        <f>IF('Données projet'!$A$36&gt;35,N103+M104-V103,IF(A104&lt;'Données projet'!$A$36,$K$205^A104,IF(A104='Données projet'!$A$36,'Données projet'!$B$36,N103+M104-V103)))</f>
        <v>233.87199999999979</v>
      </c>
      <c r="O104" s="13">
        <f>N104*VLOOKUP('Données projet'!$B$9,Paramètres!$A$1:$I$89,3,0)*VLOOKUP('Données projet'!$B$9,Paramètres!$A$1:$I$89,5,0)</f>
        <v>109.4520959999999</v>
      </c>
      <c r="P104" s="13">
        <f t="shared" si="87"/>
        <v>29.201856624952804</v>
      </c>
      <c r="Q104" s="20">
        <f t="shared" si="107"/>
        <v>241.48896748845928</v>
      </c>
      <c r="R104" s="59">
        <f t="shared" si="55"/>
        <v>534.82230082179262</v>
      </c>
      <c r="S104" s="59">
        <f ca="1">AVERAGE(OFFSET($R$3,0,0,'Données projet'!$E$9+1,1))-AVERAGE(OFFSET($H$3,0,0,'Données projet'!$E$9+1,1))</f>
        <v>289.01603252482897</v>
      </c>
      <c r="T104" s="59">
        <f t="shared" si="88"/>
        <v>233.84231920589906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101.79137538404673</v>
      </c>
      <c r="AA104" s="21">
        <f>EXP(-LN(2)/25)*AA103+(1-EXP(-LN(2)/25))/(LN(2)/25)*Calculateur!V104*Calculateur!X104*VLOOKUP('Données projet'!$B$9,Paramètres!$A$1:$I$89,3,0)*0.475*44/12</f>
        <v>38.664052425045256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140.45542780909199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308.78019120000033</v>
      </c>
      <c r="AK104" s="13">
        <f t="shared" si="89"/>
        <v>73.014027120130123</v>
      </c>
      <c r="AL104" s="20">
        <f t="shared" si="58"/>
        <v>664.95826357422709</v>
      </c>
      <c r="AM104" s="59">
        <f t="shared" si="59"/>
        <v>958.29159690756046</v>
      </c>
      <c r="AN104" s="59">
        <f ca="1">AVERAGE(OFFSET($AM$3,0,0,'Données projet'!$E$10+1,1))-AVERAGE(OFFSET($H$3,0,0,'Données projet'!$E$10+1,1))</f>
        <v>581.88778927327667</v>
      </c>
      <c r="AO104" s="59">
        <f t="shared" si="90"/>
        <v>269.67340993773422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44.708140551000682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44.708140551000682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346.04676600000045</v>
      </c>
      <c r="BF104" s="13">
        <f t="shared" si="91"/>
        <v>80.747961934338676</v>
      </c>
      <c r="BG104" s="20">
        <f t="shared" si="61"/>
        <v>743.33415115230719</v>
      </c>
      <c r="BH104" s="59">
        <f t="shared" si="62"/>
        <v>1036.6674844856404</v>
      </c>
      <c r="BI104" s="59">
        <f ca="1">AVERAGE(OFFSET($BH$3,0,0,'Données projet'!$E$11+1,1))-AVERAGE(OFFSET($H$3,0,0,'Données projet'!$E$11+1,1))</f>
        <v>646.50767193970182</v>
      </c>
      <c r="BJ104" s="59">
        <f t="shared" si="92"/>
        <v>297.06786598620607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50.103950617500779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50.103950617500779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228.92324520000025</v>
      </c>
      <c r="CA104" s="13">
        <f t="shared" si="93"/>
        <v>56.049798422696988</v>
      </c>
      <c r="CB104" s="20">
        <f t="shared" si="64"/>
        <v>496.32805097619757</v>
      </c>
      <c r="CC104" s="59">
        <f t="shared" si="65"/>
        <v>789.66138430953083</v>
      </c>
      <c r="CD104" s="59">
        <f ca="1">AVERAGE(OFFSET($CC$3,0,0,'Données projet'!$E$12+1,1))-AVERAGE(OFFSET($H$3,0,0,'Données projet'!$E$12+1,1))</f>
        <v>442.85175349826028</v>
      </c>
      <c r="CE104" s="59">
        <f t="shared" si="94"/>
        <v>210.70697808232501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40.85399050350064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40.85399050350064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6.4510000000000023</v>
      </c>
      <c r="N105" s="13">
        <f>IF('Données projet'!$A$36&gt;35,N104+M105-V104,IF(A105&lt;'Données projet'!$A$36,$K$205^A105,IF(A105='Données projet'!$A$36,'Données projet'!$B$36,N104+M105-V104)))</f>
        <v>240.32299999999978</v>
      </c>
      <c r="O105" s="13">
        <f>N105*VLOOKUP('Données projet'!$B$9,Paramètres!$A$1:$I$89,3,0)*VLOOKUP('Données projet'!$B$9,Paramètres!$A$1:$I$89,5,0)</f>
        <v>112.4711639999999</v>
      </c>
      <c r="P105" s="13">
        <f t="shared" si="87"/>
        <v>29.912455132102341</v>
      </c>
      <c r="Q105" s="20">
        <f t="shared" si="107"/>
        <v>247.98480332174475</v>
      </c>
      <c r="R105" s="59">
        <f t="shared" si="55"/>
        <v>541.31813665507809</v>
      </c>
      <c r="S105" s="59">
        <f ca="1">AVERAGE(OFFSET($R$3,0,0,'Données projet'!$E$9+1,1))-AVERAGE(OFFSET($H$3,0,0,'Données projet'!$E$9+1,1))</f>
        <v>289.01603252482897</v>
      </c>
      <c r="T105" s="59">
        <f t="shared" si="88"/>
        <v>233.84231920589906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99.79530859937401</v>
      </c>
      <c r="AA105" s="21">
        <f>EXP(-LN(2)/25)*AA104+(1-EXP(-LN(2)/25))/(LN(2)/25)*Calculateur!V105*Calculateur!X105*VLOOKUP('Données projet'!$B$9,Paramètres!$A$1:$I$89,3,0)*0.475*44/12</f>
        <v>37.606781878228247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137.40209047760226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316.06111680000038</v>
      </c>
      <c r="AK105" s="13">
        <f t="shared" si="89"/>
        <v>74.533202582557081</v>
      </c>
      <c r="AL105" s="20">
        <f t="shared" si="58"/>
        <v>680.28510625795423</v>
      </c>
      <c r="AM105" s="59">
        <f t="shared" si="59"/>
        <v>973.6184395912876</v>
      </c>
      <c r="AN105" s="59">
        <f ca="1">AVERAGE(OFFSET($AM$3,0,0,'Données projet'!$E$10+1,1))-AVERAGE(OFFSET($H$3,0,0,'Données projet'!$E$10+1,1))</f>
        <v>581.88778927327667</v>
      </c>
      <c r="AO105" s="59">
        <f t="shared" si="90"/>
        <v>269.67340993773422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43.83144118406868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43.83144118406868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354.20642400000042</v>
      </c>
      <c r="BF105" s="13">
        <f t="shared" si="91"/>
        <v>82.42805447614306</v>
      </c>
      <c r="BG105" s="20">
        <f t="shared" si="61"/>
        <v>760.4717166792833</v>
      </c>
      <c r="BH105" s="59">
        <f t="shared" si="62"/>
        <v>1053.8050500126167</v>
      </c>
      <c r="BI105" s="59">
        <f ca="1">AVERAGE(OFFSET($BH$3,0,0,'Données projet'!$E$11+1,1))-AVERAGE(OFFSET($H$3,0,0,'Données projet'!$E$11+1,1))</f>
        <v>646.50767193970182</v>
      </c>
      <c r="BJ105" s="59">
        <f t="shared" si="92"/>
        <v>297.06786598620607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49.121442706283879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49.121442706283879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234.32117280000028</v>
      </c>
      <c r="CA105" s="13">
        <f t="shared" si="93"/>
        <v>57.216005544756449</v>
      </c>
      <c r="CB105" s="20">
        <f t="shared" si="64"/>
        <v>507.7605856171179</v>
      </c>
      <c r="CC105" s="59">
        <f t="shared" si="65"/>
        <v>801.09391895045121</v>
      </c>
      <c r="CD105" s="59">
        <f ca="1">AVERAGE(OFFSET($CC$3,0,0,'Données projet'!$E$12+1,1))-AVERAGE(OFFSET($H$3,0,0,'Données projet'!$E$12+1,1))</f>
        <v>442.85175349826028</v>
      </c>
      <c r="CE105" s="59">
        <f t="shared" si="94"/>
        <v>210.70697808232501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40.052868668200702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40.052868668200702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6.4510000000000023</v>
      </c>
      <c r="N106" s="13">
        <f>IF('Données projet'!$A$36&gt;35,N105+M106-V105,IF(A106&lt;'Données projet'!$A$36,$K$205^A106,IF(A106='Données projet'!$A$36,'Données projet'!$B$36,N105+M106-V105)))</f>
        <v>246.77399999999977</v>
      </c>
      <c r="O106" s="13">
        <f>N106*VLOOKUP('Données projet'!$B$9,Paramètres!$A$1:$I$89,3,0)*VLOOKUP('Données projet'!$B$9,Paramètres!$A$1:$I$89,5,0)</f>
        <v>115.49023199999989</v>
      </c>
      <c r="P106" s="13">
        <f t="shared" si="87"/>
        <v>30.620836536672169</v>
      </c>
      <c r="Q106" s="20">
        <f t="shared" si="107"/>
        <v>254.47677770137054</v>
      </c>
      <c r="R106" s="59">
        <f t="shared" si="55"/>
        <v>547.81011103470382</v>
      </c>
      <c r="S106" s="59">
        <f ca="1">AVERAGE(OFFSET($R$3,0,0,'Données projet'!$E$9+1,1))-AVERAGE(OFFSET($H$3,0,0,'Données projet'!$E$9+1,1))</f>
        <v>289.01603252482897</v>
      </c>
      <c r="T106" s="59">
        <f t="shared" si="88"/>
        <v>233.84231920589906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97.838383466868208</v>
      </c>
      <c r="AA106" s="21">
        <f>EXP(-LN(2)/25)*AA105+(1-EXP(-LN(2)/25))/(LN(2)/25)*Calculateur!V106*Calculateur!X106*VLOOKUP('Données projet'!$B$9,Paramètres!$A$1:$I$89,3,0)*0.475*44/12</f>
        <v>36.578422450113386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134.41680591698159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323.34204240000037</v>
      </c>
      <c r="AK106" s="13">
        <f t="shared" si="89"/>
        <v>76.048309539529996</v>
      </c>
      <c r="AL106" s="20">
        <f t="shared" si="58"/>
        <v>695.60486296134877</v>
      </c>
      <c r="AM106" s="59">
        <f t="shared" si="59"/>
        <v>988.93819629468203</v>
      </c>
      <c r="AN106" s="59">
        <f ca="1">AVERAGE(OFFSET($AM$3,0,0,'Données projet'!$E$10+1,1))-AVERAGE(OFFSET($H$3,0,0,'Données projet'!$E$10+1,1))</f>
        <v>581.88778927327667</v>
      </c>
      <c r="AO106" s="59">
        <f t="shared" si="90"/>
        <v>269.67340993773422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42.971933356988401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42.971933356988401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362.36608200000046</v>
      </c>
      <c r="BF106" s="13">
        <f t="shared" si="91"/>
        <v>84.103647560288479</v>
      </c>
      <c r="BG106" s="20">
        <f t="shared" si="61"/>
        <v>777.60144565083658</v>
      </c>
      <c r="BH106" s="59">
        <f t="shared" si="62"/>
        <v>1070.93477898417</v>
      </c>
      <c r="BI106" s="59">
        <f ca="1">AVERAGE(OFFSET($BH$3,0,0,'Données projet'!$E$11+1,1))-AVERAGE(OFFSET($H$3,0,0,'Données projet'!$E$11+1,1))</f>
        <v>646.50767193970182</v>
      </c>
      <c r="BJ106" s="59">
        <f t="shared" si="92"/>
        <v>297.06786598620607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48.158201175935289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48.158201175935289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239.71910040000031</v>
      </c>
      <c r="CA106" s="13">
        <f t="shared" si="93"/>
        <v>58.37908944625714</v>
      </c>
      <c r="CB106" s="20">
        <f t="shared" si="64"/>
        <v>519.18768064889844</v>
      </c>
      <c r="CC106" s="59">
        <f t="shared" si="65"/>
        <v>812.52101398223181</v>
      </c>
      <c r="CD106" s="59">
        <f ca="1">AVERAGE(OFFSET($CC$3,0,0,'Données projet'!$E$12+1,1))-AVERAGE(OFFSET($H$3,0,0,'Données projet'!$E$12+1,1))</f>
        <v>442.85175349826028</v>
      </c>
      <c r="CE106" s="59">
        <f t="shared" si="94"/>
        <v>210.70697808232501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39.267456343454924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39.267456343454924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6.4510000000000023</v>
      </c>
      <c r="N107" s="13">
        <f>IF('Données projet'!$A$36&gt;35,N106+M107-V106,IF(A107&lt;'Données projet'!$A$36,$K$205^A107,IF(A107='Données projet'!$A$36,'Données projet'!$B$36,N106+M107-V106)))</f>
        <v>253.22499999999977</v>
      </c>
      <c r="O107" s="13">
        <f>N107*VLOOKUP('Données projet'!$B$9,Paramètres!$A$1:$I$89,3,0)*VLOOKUP('Données projet'!$B$9,Paramètres!$A$1:$I$89,5,0)</f>
        <v>118.5092999999999</v>
      </c>
      <c r="P107" s="13">
        <f t="shared" si="87"/>
        <v>31.327065459533575</v>
      </c>
      <c r="Q107" s="20">
        <f t="shared" si="107"/>
        <v>260.96500317535418</v>
      </c>
      <c r="R107" s="59">
        <f t="shared" si="55"/>
        <v>554.2983365086875</v>
      </c>
      <c r="S107" s="59">
        <f ca="1">AVERAGE(OFFSET($R$3,0,0,'Données projet'!$E$9+1,1))-AVERAGE(OFFSET($H$3,0,0,'Données projet'!$E$9+1,1))</f>
        <v>289.01603252482897</v>
      </c>
      <c r="T107" s="59">
        <f t="shared" si="88"/>
        <v>233.84231920589906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95.919832442604374</v>
      </c>
      <c r="AA107" s="21">
        <f>EXP(-LN(2)/25)*AA106+(1-EXP(-LN(2)/25))/(LN(2)/25)*Calculateur!V107*Calculateur!X107*VLOOKUP('Données projet'!$B$9,Paramètres!$A$1:$I$89,3,0)*0.475*44/12</f>
        <v>35.578183564639403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131.49801600724379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330.62296800000041</v>
      </c>
      <c r="AK107" s="13">
        <f t="shared" si="89"/>
        <v>77.559450151847827</v>
      </c>
      <c r="AL107" s="20">
        <f t="shared" si="58"/>
        <v>710.91771161446911</v>
      </c>
      <c r="AM107" s="59">
        <f t="shared" si="59"/>
        <v>1004.2510449478025</v>
      </c>
      <c r="AN107" s="59">
        <f ca="1">AVERAGE(OFFSET($AM$3,0,0,'Données projet'!$E$10+1,1))-AVERAGE(OFFSET($H$3,0,0,'Données projet'!$E$10+1,1))</f>
        <v>581.88778927327667</v>
      </c>
      <c r="AO107" s="59">
        <f t="shared" si="90"/>
        <v>269.67340993773422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57.661865407845688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57.661865407845688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370.5257400000005</v>
      </c>
      <c r="BF107" s="13">
        <f t="shared" si="91"/>
        <v>85.774854168850283</v>
      </c>
      <c r="BG107" s="20">
        <f t="shared" si="61"/>
        <v>794.72353484408177</v>
      </c>
      <c r="BH107" s="59">
        <f t="shared" si="62"/>
        <v>1088.056868177415</v>
      </c>
      <c r="BI107" s="59">
        <f ca="1">AVERAGE(OFFSET($BH$3,0,0,'Données projet'!$E$11+1,1))-AVERAGE(OFFSET($H$3,0,0,'Données projet'!$E$11+1,1))</f>
        <v>646.50767193970182</v>
      </c>
      <c r="BJ107" s="59">
        <f t="shared" si="92"/>
        <v>297.06786598620607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64.621056060516736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64.621056060516736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245.11702800000035</v>
      </c>
      <c r="CA107" s="13">
        <f t="shared" si="93"/>
        <v>59.539128551748597</v>
      </c>
      <c r="CB107" s="20">
        <f t="shared" si="64"/>
        <v>530.60947266096275</v>
      </c>
      <c r="CC107" s="59">
        <f t="shared" si="65"/>
        <v>823.94280599429612</v>
      </c>
      <c r="CD107" s="59">
        <f ca="1">AVERAGE(OFFSET($CC$3,0,0,'Données projet'!$E$12+1,1))-AVERAGE(OFFSET($H$3,0,0,'Données projet'!$E$12+1,1))</f>
        <v>442.85175349826028</v>
      </c>
      <c r="CE107" s="59">
        <f t="shared" si="94"/>
        <v>210.70697808232501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0.318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52.691014941652099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52.691014941652099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6.4510000000000023</v>
      </c>
      <c r="N108" s="13">
        <f>IF('Données projet'!$A$36&gt;35,N107+M108-V107,IF(A108&lt;'Données projet'!$A$36,$K$205^A108,IF(A108='Données projet'!$A$36,'Données projet'!$B$36,N107+M108-V107)))</f>
        <v>259.67599999999976</v>
      </c>
      <c r="O108" s="13">
        <f>N108*VLOOKUP('Données projet'!$B$9,Paramètres!$A$1:$I$89,3,0)*VLOOKUP('Données projet'!$B$9,Paramètres!$A$1:$I$89,5,0)</f>
        <v>121.52836799999989</v>
      </c>
      <c r="P108" s="13">
        <f t="shared" si="87"/>
        <v>32.031203041479884</v>
      </c>
      <c r="Q108" s="20">
        <f t="shared" si="107"/>
        <v>267.44958623057727</v>
      </c>
      <c r="R108" s="59">
        <f t="shared" si="55"/>
        <v>560.78291956391058</v>
      </c>
      <c r="S108" s="59">
        <f ca="1">AVERAGE(OFFSET($R$3,0,0,'Données projet'!$E$9+1,1))-AVERAGE(OFFSET($H$3,0,0,'Données projet'!$E$9+1,1))</f>
        <v>289.01603252482897</v>
      </c>
      <c r="T108" s="59">
        <f t="shared" si="88"/>
        <v>233.84231920589906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94.038903033725774</v>
      </c>
      <c r="AA108" s="21">
        <f>EXP(-LN(2)/25)*AA107+(1-EXP(-LN(2)/25))/(LN(2)/25)*Calculateur!V108*Calculateur!X108*VLOOKUP('Données projet'!$B$9,Paramètres!$A$1:$I$89,3,0)*0.475*44/12</f>
        <v>34.605296264088977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128.64419929781474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283.34264400000046</v>
      </c>
      <c r="AK108" s="13">
        <f t="shared" si="89"/>
        <v>67.672917015543916</v>
      </c>
      <c r="AL108" s="20">
        <f t="shared" si="58"/>
        <v>611.3521021020731</v>
      </c>
      <c r="AM108" s="59">
        <f t="shared" si="59"/>
        <v>904.68543543540636</v>
      </c>
      <c r="AN108" s="59">
        <f ca="1">AVERAGE(OFFSET($AM$3,0,0,'Données projet'!$E$10+1,1))-AVERAGE(OFFSET($H$3,0,0,'Données projet'!$E$10+1,1))</f>
        <v>581.88778927327667</v>
      </c>
      <c r="AO108" s="59">
        <f t="shared" si="90"/>
        <v>269.67340993773422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56.531151397462956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56.531151397462956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317.53917000000052</v>
      </c>
      <c r="BF108" s="13">
        <f t="shared" si="91"/>
        <v>74.841100302084755</v>
      </c>
      <c r="BG108" s="20">
        <f t="shared" si="61"/>
        <v>683.39563744279849</v>
      </c>
      <c r="BH108" s="59">
        <f t="shared" si="62"/>
        <v>976.72897077613175</v>
      </c>
      <c r="BI108" s="59">
        <f ca="1">AVERAGE(OFFSET($BH$3,0,0,'Données projet'!$E$11+1,1))-AVERAGE(OFFSET($H$3,0,0,'Données projet'!$E$11+1,1))</f>
        <v>646.50767193970182</v>
      </c>
      <c r="BJ108" s="59">
        <f t="shared" si="92"/>
        <v>297.06786598620607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63.353876566122295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63.353876566122295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210.06437400000033</v>
      </c>
      <c r="CA108" s="13">
        <f t="shared" si="93"/>
        <v>51.949652785983382</v>
      </c>
      <c r="CB108" s="20">
        <f t="shared" si="64"/>
        <v>456.34109665225498</v>
      </c>
      <c r="CC108" s="59">
        <f t="shared" si="65"/>
        <v>749.67442998558829</v>
      </c>
      <c r="CD108" s="59">
        <f ca="1">AVERAGE(OFFSET($CC$3,0,0,'Données projet'!$E$12+1,1))-AVERAGE(OFFSET($H$3,0,0,'Données projet'!$E$12+1,1))</f>
        <v>442.85175349826028</v>
      </c>
      <c r="CE108" s="59">
        <f t="shared" si="94"/>
        <v>210.70697808232501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51.657776276992017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51.657776276992017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6.4510000000000023</v>
      </c>
      <c r="N109" s="13">
        <f>IF('Données projet'!$A$36&gt;35,N108+M109-V108,IF(A109&lt;'Données projet'!$A$36,$K$205^A109,IF(A109='Données projet'!$A$36,'Données projet'!$B$36,N108+M109-V108)))</f>
        <v>266.12699999999978</v>
      </c>
      <c r="O109" s="13">
        <f>N109*VLOOKUP('Données projet'!$B$9,Paramètres!$A$1:$I$89,3,0)*VLOOKUP('Données projet'!$B$9,Paramètres!$A$1:$I$89,5,0)</f>
        <v>124.54743599999991</v>
      </c>
      <c r="P109" s="13">
        <f t="shared" si="87"/>
        <v>32.733307212373575</v>
      </c>
      <c r="Q109" s="20">
        <f t="shared" si="107"/>
        <v>273.9306277615504</v>
      </c>
      <c r="R109" s="59">
        <f t="shared" si="55"/>
        <v>567.26396109488371</v>
      </c>
      <c r="S109" s="59">
        <f ca="1">AVERAGE(OFFSET($R$3,0,0,'Données projet'!$E$9+1,1))-AVERAGE(OFFSET($H$3,0,0,'Données projet'!$E$9+1,1))</f>
        <v>289.01603252482897</v>
      </c>
      <c r="T109" s="59">
        <f t="shared" si="88"/>
        <v>233.84231920589906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92.19485750330162</v>
      </c>
      <c r="AA109" s="21">
        <f>EXP(-LN(2)/25)*AA108+(1-EXP(-LN(2)/25))/(LN(2)/25)*Calculateur!V109*Calculateur!X109*VLOOKUP('Données projet'!$B$9,Paramètres!$A$1:$I$89,3,0)*0.475*44/12</f>
        <v>33.659012617934025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125.85387012123564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290.52223200000043</v>
      </c>
      <c r="AK109" s="13">
        <f t="shared" si="89"/>
        <v>69.185862279978352</v>
      </c>
      <c r="AL109" s="20">
        <f t="shared" si="58"/>
        <v>626.49159753762979</v>
      </c>
      <c r="AM109" s="59">
        <f t="shared" si="59"/>
        <v>919.82493087096304</v>
      </c>
      <c r="AN109" s="59">
        <f ca="1">AVERAGE(OFFSET($AM$3,0,0,'Données projet'!$E$10+1,1))-AVERAGE(OFFSET($H$3,0,0,'Données projet'!$E$10+1,1))</f>
        <v>581.88778927327667</v>
      </c>
      <c r="AO109" s="59">
        <f t="shared" si="90"/>
        <v>269.67340993773422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55.422609999156386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55.422609999156386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325.58526000000052</v>
      </c>
      <c r="BF109" s="13">
        <f t="shared" si="91"/>
        <v>76.514302718659977</v>
      </c>
      <c r="BG109" s="20">
        <f t="shared" si="61"/>
        <v>700.32340506833361</v>
      </c>
      <c r="BH109" s="59">
        <f t="shared" si="62"/>
        <v>993.65673840166687</v>
      </c>
      <c r="BI109" s="59">
        <f ca="1">AVERAGE(OFFSET($BH$3,0,0,'Données projet'!$E$11+1,1))-AVERAGE(OFFSET($H$3,0,0,'Données projet'!$E$11+1,1))</f>
        <v>646.50767193970182</v>
      </c>
      <c r="BJ109" s="59">
        <f t="shared" si="92"/>
        <v>297.06786598620607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62.111545688709754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62.111545688709754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215.38717200000033</v>
      </c>
      <c r="CA109" s="13">
        <f t="shared" si="93"/>
        <v>53.111077247020198</v>
      </c>
      <c r="CB109" s="20">
        <f t="shared" si="64"/>
        <v>467.63445077189402</v>
      </c>
      <c r="CC109" s="59">
        <f t="shared" si="65"/>
        <v>760.96778410522734</v>
      </c>
      <c r="CD109" s="59">
        <f ca="1">AVERAGE(OFFSET($CC$3,0,0,'Données projet'!$E$12+1,1))-AVERAGE(OFFSET($H$3,0,0,'Données projet'!$E$12+1,1))</f>
        <v>442.85175349826028</v>
      </c>
      <c r="CE109" s="59">
        <f t="shared" si="94"/>
        <v>210.70697808232501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50.644798792332566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50.644798792332566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6.4510000000000023</v>
      </c>
      <c r="N110" s="13">
        <f>IF('Données projet'!$A$36&gt;35,N109+M110-V109,IF(A110&lt;'Données projet'!$A$36,$K$205^A110,IF(A110='Données projet'!$A$36,'Données projet'!$B$36,N109+M110-V109)))</f>
        <v>272.5779999999998</v>
      </c>
      <c r="O110" s="13">
        <f>N110*VLOOKUP('Données projet'!$B$9,Paramètres!$A$1:$I$89,3,0)*VLOOKUP('Données projet'!$B$9,Paramètres!$A$1:$I$89,5,0)</f>
        <v>127.56650399999991</v>
      </c>
      <c r="P110" s="13">
        <f t="shared" si="87"/>
        <v>33.433432933461638</v>
      </c>
      <c r="Q110" s="20">
        <f t="shared" si="107"/>
        <v>280.40822349244553</v>
      </c>
      <c r="R110" s="59">
        <f t="shared" si="55"/>
        <v>573.74155682577884</v>
      </c>
      <c r="S110" s="59">
        <f ca="1">AVERAGE(OFFSET($R$3,0,0,'Données projet'!$E$9+1,1))-AVERAGE(OFFSET($H$3,0,0,'Données projet'!$E$9+1,1))</f>
        <v>289.01603252482897</v>
      </c>
      <c r="T110" s="59">
        <f t="shared" si="88"/>
        <v>233.84231920589906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90.386972580972369</v>
      </c>
      <c r="AA110" s="21">
        <f>EXP(-LN(2)/25)*AA109+(1-EXP(-LN(2)/25))/(LN(2)/25)*Calculateur!V110*Calculateur!X110*VLOOKUP('Données projet'!$B$9,Paramètres!$A$1:$I$89,3,0)*0.475*44/12</f>
        <v>32.738605147846073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123.12557772881844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297.70182000000045</v>
      </c>
      <c r="AK110" s="13">
        <f t="shared" si="89"/>
        <v>70.69446125561177</v>
      </c>
      <c r="AL110" s="20">
        <f t="shared" si="58"/>
        <v>641.62352318685794</v>
      </c>
      <c r="AM110" s="59">
        <f t="shared" si="59"/>
        <v>934.9568565201912</v>
      </c>
      <c r="AN110" s="59">
        <f ca="1">AVERAGE(OFFSET($AM$3,0,0,'Données projet'!$E$10+1,1))-AVERAGE(OFFSET($H$3,0,0,'Données projet'!$E$10+1,1))</f>
        <v>581.88778927327667</v>
      </c>
      <c r="AO110" s="59">
        <f t="shared" si="90"/>
        <v>269.67340993773422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54.335806421527117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54.335806421527117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333.63135000000051</v>
      </c>
      <c r="BF110" s="13">
        <f t="shared" si="91"/>
        <v>78.182698470317533</v>
      </c>
      <c r="BG110" s="20">
        <f t="shared" si="61"/>
        <v>717.24280108580388</v>
      </c>
      <c r="BH110" s="59">
        <f t="shared" si="62"/>
        <v>1010.5761344191371</v>
      </c>
      <c r="BI110" s="59">
        <f ca="1">AVERAGE(OFFSET($BH$3,0,0,'Données projet'!$E$11+1,1))-AVERAGE(OFFSET($H$3,0,0,'Données projet'!$E$11+1,1))</f>
        <v>646.50767193970182</v>
      </c>
      <c r="BJ110" s="59">
        <f t="shared" si="92"/>
        <v>297.06786598620607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60.893576162056263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60.893576162056263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220.70997000000031</v>
      </c>
      <c r="CA110" s="13">
        <f t="shared" si="93"/>
        <v>54.269165244903427</v>
      </c>
      <c r="CB110" s="20">
        <f t="shared" si="64"/>
        <v>478.92199388487393</v>
      </c>
      <c r="CC110" s="59">
        <f t="shared" si="65"/>
        <v>772.25532721820719</v>
      </c>
      <c r="CD110" s="59">
        <f ca="1">AVERAGE(OFFSET($CC$3,0,0,'Données projet'!$E$12+1,1))-AVERAGE(OFFSET($H$3,0,0,'Données projet'!$E$12+1,1))</f>
        <v>442.85175349826028</v>
      </c>
      <c r="CE110" s="59">
        <f t="shared" si="94"/>
        <v>210.70697808232501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49.651685178292027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49.651685178292027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6.4510000000000023</v>
      </c>
      <c r="N111" s="13">
        <f>IF('Données projet'!$A$36&gt;35,N110+M111-V110,IF(A111&lt;'Données projet'!$A$36,$K$205^A111,IF(A111='Données projet'!$A$36,'Données projet'!$B$36,N110+M111-V110)))</f>
        <v>279.02899999999983</v>
      </c>
      <c r="O111" s="13">
        <f>N111*VLOOKUP('Données projet'!$B$9,Paramètres!$A$1:$I$89,3,0)*VLOOKUP('Données projet'!$B$9,Paramètres!$A$1:$I$89,5,0)</f>
        <v>130.5855719999999</v>
      </c>
      <c r="P111" s="13">
        <f t="shared" si="87"/>
        <v>34.131632416105802</v>
      </c>
      <c r="Q111" s="20">
        <f t="shared" si="107"/>
        <v>286.88246435805075</v>
      </c>
      <c r="R111" s="59">
        <f t="shared" si="55"/>
        <v>580.21579769138407</v>
      </c>
      <c r="S111" s="59">
        <f ca="1">AVERAGE(OFFSET($R$3,0,0,'Données projet'!$E$9+1,1))-AVERAGE(OFFSET($H$3,0,0,'Données projet'!$E$9+1,1))</f>
        <v>289.01603252482897</v>
      </c>
      <c r="T111" s="59">
        <f t="shared" si="88"/>
        <v>233.84231920589906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88.614539179269073</v>
      </c>
      <c r="AA111" s="21">
        <f>EXP(-LN(2)/25)*AA110+(1-EXP(-LN(2)/25))/(LN(2)/25)*Calculateur!V111*Calculateur!X111*VLOOKUP('Données projet'!$B$9,Paramètres!$A$1:$I$89,3,0)*0.475*44/12</f>
        <v>31.843366268429801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120.45790544769888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304.88140800000042</v>
      </c>
      <c r="AK111" s="13">
        <f t="shared" si="89"/>
        <v>72.198830820277394</v>
      </c>
      <c r="AL111" s="20">
        <f t="shared" si="58"/>
        <v>656.74808261198393</v>
      </c>
      <c r="AM111" s="59">
        <f t="shared" si="59"/>
        <v>950.0814159453173</v>
      </c>
      <c r="AN111" s="59">
        <f ca="1">AVERAGE(OFFSET($AM$3,0,0,'Données projet'!$E$10+1,1))-AVERAGE(OFFSET($H$3,0,0,'Données projet'!$E$10+1,1))</f>
        <v>581.88778927327667</v>
      </c>
      <c r="AO111" s="59">
        <f t="shared" si="90"/>
        <v>269.67340993773422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53.270314399170431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53.270314399170431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341.6774400000005</v>
      </c>
      <c r="BF111" s="13">
        <f t="shared" si="91"/>
        <v>79.846416815053246</v>
      </c>
      <c r="BG111" s="20">
        <f t="shared" si="61"/>
        <v>734.15405061955198</v>
      </c>
      <c r="BH111" s="59">
        <f t="shared" si="62"/>
        <v>1027.4873839528852</v>
      </c>
      <c r="BI111" s="59">
        <f ca="1">AVERAGE(OFFSET($BH$3,0,0,'Données projet'!$E$11+1,1))-AVERAGE(OFFSET($H$3,0,0,'Données projet'!$E$11+1,1))</f>
        <v>646.50767193970182</v>
      </c>
      <c r="BJ111" s="59">
        <f t="shared" si="92"/>
        <v>297.06786598620607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59.699490274932387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59.699490274932387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226.03276800000035</v>
      </c>
      <c r="CA111" s="13">
        <f t="shared" si="93"/>
        <v>55.42400650183086</v>
      </c>
      <c r="CB111" s="20">
        <f t="shared" si="64"/>
        <v>490.20388225735604</v>
      </c>
      <c r="CC111" s="59">
        <f t="shared" si="65"/>
        <v>783.53721559068936</v>
      </c>
      <c r="CD111" s="59">
        <f ca="1">AVERAGE(OFFSET($CC$3,0,0,'Données projet'!$E$12+1,1))-AVERAGE(OFFSET($H$3,0,0,'Données projet'!$E$12+1,1))</f>
        <v>442.85175349826028</v>
      </c>
      <c r="CE111" s="59">
        <f t="shared" si="94"/>
        <v>210.70697808232501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48.678045916483327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48.678045916483327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285.48</v>
      </c>
      <c r="L112" s="12">
        <f>VLOOKUP(A112,'Données projet'!$A$35:$I$55,9,0)</f>
        <v>6.4510000000000023</v>
      </c>
      <c r="M112" s="12">
        <f t="array" ref="M112">INDEX(L:L,MIN(IF(ISNUMBER(L112:L308),ROW(L112:L308),"")))</f>
        <v>6.4510000000000023</v>
      </c>
      <c r="N112" s="13">
        <f>IF('Données projet'!$A$36&gt;35,N111+M112-V111,IF(A112&lt;'Données projet'!$A$36,$K$205^A112,IF(A112='Données projet'!$A$36,'Données projet'!$B$36,N111+M112-V111)))</f>
        <v>285.47999999999985</v>
      </c>
      <c r="O112" s="13">
        <f>N112*VLOOKUP('Données projet'!$B$9,Paramètres!$A$1:$I$89,3,0)*VLOOKUP('Données projet'!$B$9,Paramètres!$A$1:$I$89,5,0)</f>
        <v>133.60463999999993</v>
      </c>
      <c r="P112" s="13">
        <f t="shared" si="87"/>
        <v>34.827955319714754</v>
      </c>
      <c r="Q112" s="20">
        <f t="shared" si="107"/>
        <v>293.35343684850307</v>
      </c>
      <c r="R112" s="59">
        <f t="shared" si="55"/>
        <v>586.68677018183644</v>
      </c>
      <c r="S112" s="59">
        <f ca="1">AVERAGE(OFFSET($R$3,0,0,'Données projet'!$E$9+1,1))-AVERAGE(OFFSET($H$3,0,0,'Données projet'!$E$9+1,1))</f>
        <v>289.01603252482897</v>
      </c>
      <c r="T112" s="59">
        <f t="shared" si="88"/>
        <v>233.84231920589906</v>
      </c>
      <c r="U112" s="15">
        <f>IF(ISNA(VLOOKUP(A112,'Données projet'!$A$35:$I$55,3,0)),0,VLOOKUP(A112,'Données projet'!$A$35:$I$55,3,0))</f>
        <v>6</v>
      </c>
      <c r="V112" s="15">
        <f>IF(ISNA(VLOOKUP(A112,'Données projet'!$A$35:$I$55,4,0)),0,VLOOKUP(A112,'Données projet'!$A$35:$I$55,4,0))</f>
        <v>285.48</v>
      </c>
      <c r="W112" s="16">
        <f>IF(ISNA(VLOOKUP(A112,'Données projet'!$A$35:$I$55,5,0)),0%,VLOOKUP(A112,'Données projet'!$A$35:$I$55,5,0)*VLOOKUP('Données projet'!$B$9,Paramètres!$A$1:$I$89,7,0))</f>
        <v>0.38500000000000001</v>
      </c>
      <c r="X112" s="16">
        <f>IF(ISNA(VLOOKUP(A112,'Données projet'!$A$35:$I$55,6,0)),0%,VLOOKUP(A112,'Données projet'!$A$35:$I$55,6,0)*VLOOKUP('Données projet'!$B$9,Paramètres!$A$1:$I$89,7,0))</f>
        <v>0.16500000000000001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155.11240122022696</v>
      </c>
      <c r="AA112" s="21">
        <f>EXP(-LN(2)/25)*AA111+(1-EXP(-LN(2)/25))/(LN(2)/25)*Calculateur!V112*Calculateur!X112*VLOOKUP('Données projet'!$B$9,Paramètres!$A$1:$I$89,3,0)*0.475*44/12</f>
        <v>60.101266223605734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215.21366744383269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312.06099600000044</v>
      </c>
      <c r="AK112" s="13">
        <f t="shared" si="89"/>
        <v>73.699082033131035</v>
      </c>
      <c r="AL112" s="20">
        <f t="shared" si="58"/>
        <v>671.86546924103743</v>
      </c>
      <c r="AM112" s="59">
        <f t="shared" si="59"/>
        <v>965.1988025743708</v>
      </c>
      <c r="AN112" s="59">
        <f ca="1">AVERAGE(OFFSET($AM$3,0,0,'Données projet'!$E$10+1,1))-AVERAGE(OFFSET($H$3,0,0,'Données projet'!$E$10+1,1))</f>
        <v>581.88778927327667</v>
      </c>
      <c r="AO112" s="59">
        <f t="shared" si="90"/>
        <v>269.67340993773422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52.225716025486193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52.225716025486193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349.72353000000055</v>
      </c>
      <c r="BF112" s="13">
        <f t="shared" si="91"/>
        <v>81.505580575848711</v>
      </c>
      <c r="BG112" s="20">
        <f t="shared" si="61"/>
        <v>751.05736758627074</v>
      </c>
      <c r="BH112" s="59">
        <f t="shared" si="62"/>
        <v>1044.3907009196041</v>
      </c>
      <c r="BI112" s="59">
        <f ca="1">AVERAGE(OFFSET($BH$3,0,0,'Données projet'!$E$11+1,1))-AVERAGE(OFFSET($H$3,0,0,'Données projet'!$E$11+1,1))</f>
        <v>646.50767193970182</v>
      </c>
      <c r="BJ112" s="59">
        <f t="shared" si="92"/>
        <v>297.06786598620607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58.52881968373454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58.52881968373454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231.35556600000035</v>
      </c>
      <c r="CA112" s="13">
        <f t="shared" si="93"/>
        <v>56.575686273246639</v>
      </c>
      <c r="CB112" s="20">
        <f t="shared" si="64"/>
        <v>501.48026437590511</v>
      </c>
      <c r="CC112" s="59">
        <f t="shared" si="65"/>
        <v>794.81359770923837</v>
      </c>
      <c r="CD112" s="59">
        <f ca="1">AVERAGE(OFFSET($CC$3,0,0,'Données projet'!$E$12+1,1))-AVERAGE(OFFSET($H$3,0,0,'Données projet'!$E$12+1,1))</f>
        <v>442.85175349826028</v>
      </c>
      <c r="CE112" s="59">
        <f t="shared" si="94"/>
        <v>210.70697808232501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47.723499126737387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47.723499126737387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-7.9808160080574461E-14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289.01603252482897</v>
      </c>
      <c r="T113" s="59">
        <f t="shared" si="88"/>
        <v>233.84231920589906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152.07074164152115</v>
      </c>
      <c r="AA113" s="21">
        <f>EXP(-LN(2)/25)*AA112+(1-EXP(-LN(2)/25))/(LN(2)/25)*Calculateur!V113*Calculateur!X113*VLOOKUP('Données projet'!$B$9,Paramètres!$A$1:$I$89,3,0)*0.475*44/12</f>
        <v>58.457793938133008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210.52853557965415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319.24058400000041</v>
      </c>
      <c r="AK113" s="13">
        <f t="shared" si="89"/>
        <v>75.195320551435159</v>
      </c>
      <c r="AL113" s="20">
        <f t="shared" si="58"/>
        <v>686.97586709375025</v>
      </c>
      <c r="AM113" s="59">
        <f t="shared" si="59"/>
        <v>980.30920042708362</v>
      </c>
      <c r="AN113" s="59">
        <f ca="1">AVERAGE(OFFSET($AM$3,0,0,'Données projet'!$E$10+1,1))-AVERAGE(OFFSET($H$3,0,0,'Données projet'!$E$10+1,1))</f>
        <v>581.88778927327667</v>
      </c>
      <c r="AO113" s="59">
        <f t="shared" si="90"/>
        <v>269.67340993773422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51.201601588767808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51.201601588767808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357.76962000000054</v>
      </c>
      <c r="BF113" s="13">
        <f t="shared" si="91"/>
        <v>83.160306601601619</v>
      </c>
      <c r="BG113" s="20">
        <f t="shared" si="61"/>
        <v>767.95295549779041</v>
      </c>
      <c r="BH113" s="59">
        <f t="shared" si="62"/>
        <v>1061.2862888311238</v>
      </c>
      <c r="BI113" s="59">
        <f ca="1">AVERAGE(OFFSET($BH$3,0,0,'Données projet'!$E$11+1,1))-AVERAGE(OFFSET($H$3,0,0,'Données projet'!$E$11+1,1))</f>
        <v>646.50767193970182</v>
      </c>
      <c r="BJ113" s="59">
        <f t="shared" si="92"/>
        <v>297.06786598620607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57.381105228791526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57.381105228791526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236.67836400000033</v>
      </c>
      <c r="CA113" s="13">
        <f t="shared" si="93"/>
        <v>57.724285667788187</v>
      </c>
      <c r="CB113" s="20">
        <f t="shared" si="64"/>
        <v>512.75128150473165</v>
      </c>
      <c r="CC113" s="59">
        <f t="shared" si="65"/>
        <v>806.08461483806491</v>
      </c>
      <c r="CD113" s="59">
        <f ca="1">AVERAGE(OFFSET($CC$3,0,0,'Données projet'!$E$12+1,1))-AVERAGE(OFFSET($H$3,0,0,'Données projet'!$E$12+1,1))</f>
        <v>442.85175349826028</v>
      </c>
      <c r="CE113" s="59">
        <f t="shared" si="94"/>
        <v>210.70697808232501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46.78767041732231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46.78767041732231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-7.9808160080574461E-14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289.01603252482897</v>
      </c>
      <c r="T114" s="59">
        <f t="shared" si="88"/>
        <v>233.84231920589906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149.08872715192462</v>
      </c>
      <c r="AA114" s="21">
        <f>EXP(-LN(2)/25)*AA113+(1-EXP(-LN(2)/25))/(LN(2)/25)*Calculateur!V114*Calculateur!X114*VLOOKUP('Données projet'!$B$9,Paramètres!$A$1:$I$89,3,0)*0.475*44/12</f>
        <v>56.859262488732988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205.9479896406576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326.42017200000043</v>
      </c>
      <c r="AK114" s="13">
        <f t="shared" si="89"/>
        <v>76.687647008791089</v>
      </c>
      <c r="AL114" s="20">
        <f t="shared" si="58"/>
        <v>702.07945144031191</v>
      </c>
      <c r="AM114" s="59">
        <f t="shared" si="59"/>
        <v>995.41278477364517</v>
      </c>
      <c r="AN114" s="59">
        <f ca="1">AVERAGE(OFFSET($AM$3,0,0,'Données projet'!$E$10+1,1))-AVERAGE(OFFSET($H$3,0,0,'Données projet'!$E$10+1,1))</f>
        <v>581.88778927327667</v>
      </c>
      <c r="AO114" s="59">
        <f t="shared" si="90"/>
        <v>269.67340993773422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50.197569411505341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50.197569411505341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365.81571000000054</v>
      </c>
      <c r="BF114" s="13">
        <f t="shared" si="91"/>
        <v>84.810706185422944</v>
      </c>
      <c r="BG114" s="20">
        <f t="shared" si="61"/>
        <v>784.84100818961235</v>
      </c>
      <c r="BH114" s="59">
        <f t="shared" si="62"/>
        <v>1078.1743415229457</v>
      </c>
      <c r="BI114" s="59">
        <f ca="1">AVERAGE(OFFSET($BH$3,0,0,'Données projet'!$E$11+1,1))-AVERAGE(OFFSET($H$3,0,0,'Données projet'!$E$11+1,1))</f>
        <v>646.50767193970182</v>
      </c>
      <c r="BJ114" s="59">
        <f t="shared" si="92"/>
        <v>297.06786598620607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56.255896754273245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56.255896754273245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242.00116200000033</v>
      </c>
      <c r="CA114" s="13">
        <f t="shared" si="93"/>
        <v>58.869881937639626</v>
      </c>
      <c r="CB114" s="20">
        <f t="shared" si="64"/>
        <v>524.01706819138963</v>
      </c>
      <c r="CC114" s="59">
        <f t="shared" si="65"/>
        <v>817.35040152472288</v>
      </c>
      <c r="CD114" s="59">
        <f ca="1">AVERAGE(OFFSET($CC$3,0,0,'Données projet'!$E$12+1,1))-AVERAGE(OFFSET($H$3,0,0,'Données projet'!$E$12+1,1))</f>
        <v>442.85175349826028</v>
      </c>
      <c r="CE114" s="59">
        <f t="shared" si="94"/>
        <v>210.70697808232501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45.870192738099718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45.870192738099718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-7.9808160080574461E-14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289.01603252482897</v>
      </c>
      <c r="T115" s="59">
        <f t="shared" si="88"/>
        <v>233.84231920589906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146.16518814761983</v>
      </c>
      <c r="AA115" s="21">
        <f>EXP(-LN(2)/25)*AA114+(1-EXP(-LN(2)/25))/(LN(2)/25)*Calculateur!V115*Calculateur!X115*VLOOKUP('Données projet'!$B$9,Paramètres!$A$1:$I$89,3,0)*0.475*44/12</f>
        <v>55.304442965879922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201.46963111349976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333.59976000000046</v>
      </c>
      <c r="AK115" s="13">
        <f t="shared" si="89"/>
        <v>78.17615735915706</v>
      </c>
      <c r="AL115" s="20">
        <f t="shared" si="58"/>
        <v>717.17638940053257</v>
      </c>
      <c r="AM115" s="59">
        <f t="shared" si="59"/>
        <v>1010.5097227338658</v>
      </c>
      <c r="AN115" s="59">
        <f ca="1">AVERAGE(OFFSET($AM$3,0,0,'Données projet'!$E$10+1,1))-AVERAGE(OFFSET($H$3,0,0,'Données projet'!$E$10+1,1))</f>
        <v>581.88778927327667</v>
      </c>
      <c r="AO115" s="59">
        <f t="shared" si="90"/>
        <v>269.67340993773422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49.213225692839835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49.213225692839835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373.86180000000053</v>
      </c>
      <c r="BF115" s="13">
        <f t="shared" si="91"/>
        <v>86.456885445094045</v>
      </c>
      <c r="BG115" s="20">
        <f t="shared" si="61"/>
        <v>801.7217104835396</v>
      </c>
      <c r="BH115" s="59">
        <f t="shared" si="62"/>
        <v>1095.055043816873</v>
      </c>
      <c r="BI115" s="59">
        <f ca="1">AVERAGE(OFFSET($BH$3,0,0,'Données projet'!$E$11+1,1))-AVERAGE(OFFSET($H$3,0,0,'Données projet'!$E$11+1,1))</f>
        <v>646.50767193970182</v>
      </c>
      <c r="BJ115" s="59">
        <f t="shared" si="92"/>
        <v>297.06786598620607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55.152752931630864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55.152752931630864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247.32396000000037</v>
      </c>
      <c r="CA115" s="13">
        <f t="shared" si="93"/>
        <v>60.012548742620076</v>
      </c>
      <c r="CB115" s="20">
        <f t="shared" si="64"/>
        <v>535.27775272673057</v>
      </c>
      <c r="CC115" s="59">
        <f t="shared" si="65"/>
        <v>828.61108606006383</v>
      </c>
      <c r="CD115" s="59">
        <f ca="1">AVERAGE(OFFSET($CC$3,0,0,'Données projet'!$E$12+1,1))-AVERAGE(OFFSET($H$3,0,0,'Données projet'!$E$12+1,1))</f>
        <v>442.85175349826028</v>
      </c>
      <c r="CE115" s="59">
        <f t="shared" si="94"/>
        <v>210.70697808232501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44.970706236560552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44.970706236560552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-7.9808160080574461E-14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289.01603252482897</v>
      </c>
      <c r="T116" s="59">
        <f t="shared" si="88"/>
        <v>233.84231920589906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143.29897796000674</v>
      </c>
      <c r="AA116" s="21">
        <f>EXP(-LN(2)/25)*AA115+(1-EXP(-LN(2)/25))/(LN(2)/25)*Calculateur!V116*Calculateur!X116*VLOOKUP('Données projet'!$B$9,Paramètres!$A$1:$I$89,3,0)*0.475*44/12</f>
        <v>53.792140064643682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197.09111802465043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340.77934800000043</v>
      </c>
      <c r="AK116" s="13">
        <f t="shared" si="89"/>
        <v>79.660943190415296</v>
      </c>
      <c r="AL116" s="20">
        <f t="shared" si="58"/>
        <v>732.26684048997402</v>
      </c>
      <c r="AM116" s="59">
        <f t="shared" si="59"/>
        <v>1025.6001738233074</v>
      </c>
      <c r="AN116" s="59">
        <f ca="1">AVERAGE(OFFSET($AM$3,0,0,'Données projet'!$E$10+1,1))-AVERAGE(OFFSET($H$3,0,0,'Données projet'!$E$10+1,1))</f>
        <v>581.88778927327667</v>
      </c>
      <c r="AO116" s="59">
        <f t="shared" si="90"/>
        <v>269.67340993773422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48.248184354106975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48.248184354106975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381.90789000000052</v>
      </c>
      <c r="BF116" s="13">
        <f t="shared" si="91"/>
        <v>88.098945669848248</v>
      </c>
      <c r="BG116" s="20">
        <f t="shared" si="61"/>
        <v>818.59523879165329</v>
      </c>
      <c r="BH116" s="59">
        <f t="shared" si="62"/>
        <v>1111.9285721249867</v>
      </c>
      <c r="BI116" s="59">
        <f ca="1">AVERAGE(OFFSET($BH$3,0,0,'Données projet'!$E$11+1,1))-AVERAGE(OFFSET($H$3,0,0,'Données projet'!$E$11+1,1))</f>
        <v>646.50767193970182</v>
      </c>
      <c r="BJ116" s="59">
        <f t="shared" si="92"/>
        <v>297.06786598620607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54.071241086499214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54.071241086499214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252.64675800000035</v>
      </c>
      <c r="CA116" s="13">
        <f t="shared" si="93"/>
        <v>61.152356390895321</v>
      </c>
      <c r="CB116" s="20">
        <f t="shared" si="64"/>
        <v>546.5334575641433</v>
      </c>
      <c r="CC116" s="59">
        <f t="shared" si="65"/>
        <v>839.86679089747668</v>
      </c>
      <c r="CD116" s="59">
        <f ca="1">AVERAGE(OFFSET($CC$3,0,0,'Données projet'!$E$12+1,1))-AVERAGE(OFFSET($H$3,0,0,'Données projet'!$E$12+1,1))</f>
        <v>442.85175349826028</v>
      </c>
      <c r="CE116" s="59">
        <f t="shared" si="94"/>
        <v>210.70697808232501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44.088858116683973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44.088858116683973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-7.9808160080574461E-14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289.01603252482897</v>
      </c>
      <c r="T117" s="59">
        <f t="shared" si="88"/>
        <v>233.84231920589906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140.48897240595716</v>
      </c>
      <c r="AA117" s="21">
        <f>EXP(-LN(2)/25)*AA116+(1-EXP(-LN(2)/25))/(LN(2)/25)*Calculateur!V117*Calculateur!X117*VLOOKUP('Données projet'!$B$9,Paramètres!$A$1:$I$89,3,0)*0.475*44/12</f>
        <v>52.321191165770301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192.81016357172746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347.95893600000045</v>
      </c>
      <c r="AK117" s="13">
        <f t="shared" si="89"/>
        <v>81.142092010767954</v>
      </c>
      <c r="AL117" s="20">
        <f t="shared" si="58"/>
        <v>747.35095711875499</v>
      </c>
      <c r="AM117" s="59">
        <f t="shared" si="59"/>
        <v>1040.6842904520884</v>
      </c>
      <c r="AN117" s="59">
        <f ca="1">AVERAGE(OFFSET($AM$3,0,0,'Données projet'!$E$10+1,1))-AVERAGE(OFFSET($H$3,0,0,'Données projet'!$E$10+1,1))</f>
        <v>581.88778927327667</v>
      </c>
      <c r="AO117" s="59">
        <f t="shared" si="90"/>
        <v>269.67340993773422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61.771448286126386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61.771448286126386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389.95398000000051</v>
      </c>
      <c r="BF117" s="13">
        <f t="shared" si="91"/>
        <v>89.736983637102725</v>
      </c>
      <c r="BG117" s="20">
        <f t="shared" si="61"/>
        <v>835.46176166795476</v>
      </c>
      <c r="BH117" s="59">
        <f t="shared" si="62"/>
        <v>1128.795095001288</v>
      </c>
      <c r="BI117" s="59">
        <f ca="1">AVERAGE(OFFSET($BH$3,0,0,'Données projet'!$E$11+1,1))-AVERAGE(OFFSET($H$3,0,0,'Données projet'!$E$11+1,1))</f>
        <v>646.50767193970182</v>
      </c>
      <c r="BJ117" s="59">
        <f t="shared" si="92"/>
        <v>297.06786598620607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69.226623079279591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69.226623079279591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257.96955600000035</v>
      </c>
      <c r="CA117" s="13">
        <f t="shared" si="93"/>
        <v>62.289372058832555</v>
      </c>
      <c r="CB117" s="20">
        <f t="shared" si="64"/>
        <v>557.78429970246725</v>
      </c>
      <c r="CC117" s="59">
        <f t="shared" si="65"/>
        <v>851.11763303580051</v>
      </c>
      <c r="CD117" s="59">
        <f ca="1">AVERAGE(OFFSET($CC$3,0,0,'Données projet'!$E$12+1,1))-AVERAGE(OFFSET($H$3,0,0,'Données projet'!$E$12+1,1))</f>
        <v>442.85175349826028</v>
      </c>
      <c r="CE117" s="59">
        <f t="shared" si="94"/>
        <v>210.70697808232501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0.318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56.44632343387412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56.44632343387412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-7.9808160080574461E-14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289.01603252482897</v>
      </c>
      <c r="T118" s="59">
        <f t="shared" si="88"/>
        <v>233.84231920589906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137.73406934688833</v>
      </c>
      <c r="AA118" s="21">
        <f>EXP(-LN(2)/25)*AA117+(1-EXP(-LN(2)/25))/(LN(2)/25)*Calculateur!V118*Calculateur!X118*VLOOKUP('Données projet'!$B$9,Paramètres!$A$1:$I$89,3,0)*0.475*44/12</f>
        <v>50.890465441890449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188.62453478877879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304.45796160000049</v>
      </c>
      <c r="AK118" s="13">
        <f t="shared" si="89"/>
        <v>72.11021964481435</v>
      </c>
      <c r="AL118" s="20">
        <f t="shared" si="58"/>
        <v>655.85624900138566</v>
      </c>
      <c r="AM118" s="59">
        <f t="shared" si="59"/>
        <v>949.18958233471903</v>
      </c>
      <c r="AN118" s="59">
        <f ca="1">AVERAGE(OFFSET($AM$3,0,0,'Données projet'!$E$10+1,1))-AVERAGE(OFFSET($H$3,0,0,'Données projet'!$E$10+1,1))</f>
        <v>581.88778927327667</v>
      </c>
      <c r="AO118" s="59">
        <f t="shared" si="90"/>
        <v>269.67340993773422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60.560147862098624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60.560147862098624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341.2028880000006</v>
      </c>
      <c r="BF118" s="13">
        <f t="shared" si="91"/>
        <v>79.748419593074587</v>
      </c>
      <c r="BG118" s="20">
        <f t="shared" si="61"/>
        <v>733.15686072460585</v>
      </c>
      <c r="BH118" s="59">
        <f t="shared" si="62"/>
        <v>1026.4901940579391</v>
      </c>
      <c r="BI118" s="59">
        <f ca="1">AVERAGE(OFFSET($BH$3,0,0,'Données projet'!$E$11+1,1))-AVERAGE(OFFSET($H$3,0,0,'Données projet'!$E$11+1,1))</f>
        <v>646.50767193970182</v>
      </c>
      <c r="BJ118" s="59">
        <f t="shared" si="92"/>
        <v>297.06786598620607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67.869131224765709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67.869131224765709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225.71883360000038</v>
      </c>
      <c r="CA118" s="13">
        <f t="shared" si="93"/>
        <v>55.355983428476335</v>
      </c>
      <c r="CB118" s="20">
        <f t="shared" si="64"/>
        <v>489.53863965793022</v>
      </c>
      <c r="CC118" s="59">
        <f t="shared" si="65"/>
        <v>782.87197299126353</v>
      </c>
      <c r="CD118" s="59">
        <f ca="1">AVERAGE(OFFSET($CC$3,0,0,'Données projet'!$E$12+1,1))-AVERAGE(OFFSET($H$3,0,0,'Données projet'!$E$12+1,1))</f>
        <v>442.85175349826028</v>
      </c>
      <c r="CE118" s="59">
        <f t="shared" si="94"/>
        <v>210.70697808232501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55.339445460193573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55.339445460193573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-7.9808160080574461E-14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289.01603252482897</v>
      </c>
      <c r="T119" s="59">
        <f t="shared" si="88"/>
        <v>233.84231920589906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135.0331882564829</v>
      </c>
      <c r="AA119" s="21">
        <f>EXP(-LN(2)/25)*AA118+(1-EXP(-LN(2)/25))/(LN(2)/25)*Calculateur!V119*Calculateur!X119*VLOOKUP('Données projet'!$B$9,Paramètres!$A$1:$I$89,3,0)*0.475*44/12</f>
        <v>49.498862988168689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184.5320512446516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311.68912320000049</v>
      </c>
      <c r="AK119" s="13">
        <f t="shared" si="89"/>
        <v>73.621474685301479</v>
      </c>
      <c r="AL119" s="20">
        <f t="shared" si="58"/>
        <v>671.08262465023415</v>
      </c>
      <c r="AM119" s="59">
        <f t="shared" si="59"/>
        <v>964.41595798356752</v>
      </c>
      <c r="AN119" s="59">
        <f ca="1">AVERAGE(OFFSET($AM$3,0,0,'Données projet'!$E$10+1,1))-AVERAGE(OFFSET($H$3,0,0,'Données projet'!$E$10+1,1))</f>
        <v>581.88778927327667</v>
      </c>
      <c r="AO119" s="59">
        <f t="shared" si="90"/>
        <v>269.67340993773422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59.372600300565736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59.372600300565736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349.30677600000058</v>
      </c>
      <c r="BF119" s="13">
        <f t="shared" si="91"/>
        <v>81.419752750490431</v>
      </c>
      <c r="BG119" s="20">
        <f t="shared" si="61"/>
        <v>750.18203757377194</v>
      </c>
      <c r="BH119" s="59">
        <f t="shared" si="62"/>
        <v>1043.5153709071053</v>
      </c>
      <c r="BI119" s="59">
        <f ca="1">AVERAGE(OFFSET($BH$3,0,0,'Données projet'!$E$11+1,1))-AVERAGE(OFFSET($H$3,0,0,'Données projet'!$E$11+1,1))</f>
        <v>646.50767193970182</v>
      </c>
      <c r="BJ119" s="59">
        <f t="shared" si="92"/>
        <v>297.06786598620607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66.538258957530573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66.538258957530573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231.07986720000036</v>
      </c>
      <c r="CA119" s="13">
        <f t="shared" si="93"/>
        <v>56.516110375661739</v>
      </c>
      <c r="CB119" s="20">
        <f t="shared" si="64"/>
        <v>500.89632761094487</v>
      </c>
      <c r="CC119" s="59">
        <f t="shared" si="65"/>
        <v>794.22966094427818</v>
      </c>
      <c r="CD119" s="59">
        <f ca="1">AVERAGE(OFFSET($CC$3,0,0,'Données projet'!$E$12+1,1))-AVERAGE(OFFSET($H$3,0,0,'Données projet'!$E$12+1,1))</f>
        <v>442.85175349826028</v>
      </c>
      <c r="CE119" s="59">
        <f t="shared" si="94"/>
        <v>210.70697808232501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54.254272688448005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54.254272688448005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-7.9808160080574461E-14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289.01603252482897</v>
      </c>
      <c r="T120" s="59">
        <f t="shared" si="88"/>
        <v>233.84231920589906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132.38526979688552</v>
      </c>
      <c r="AA120" s="21">
        <f>EXP(-LN(2)/25)*AA119+(1-EXP(-LN(2)/25))/(LN(2)/25)*Calculateur!V120*Calculateur!X120*VLOOKUP('Données projet'!$B$9,Paramètres!$A$1:$I$89,3,0)*0.475*44/12</f>
        <v>48.145313976725141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180.53058377361066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318.9202848000005</v>
      </c>
      <c r="AK120" s="13">
        <f t="shared" si="89"/>
        <v>75.128653745521831</v>
      </c>
      <c r="AL120" s="20">
        <f t="shared" si="58"/>
        <v>686.30190130011806</v>
      </c>
      <c r="AM120" s="59">
        <f t="shared" si="59"/>
        <v>979.63523463345132</v>
      </c>
      <c r="AN120" s="59">
        <f ca="1">AVERAGE(OFFSET($AM$3,0,0,'Données projet'!$E$10+1,1))-AVERAGE(OFFSET($H$3,0,0,'Données projet'!$E$10+1,1))</f>
        <v>581.88778927327667</v>
      </c>
      <c r="AO120" s="59">
        <f t="shared" si="90"/>
        <v>269.67340993773422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58.208339822382015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58.208339822382015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357.41066400000057</v>
      </c>
      <c r="BF120" s="13">
        <f t="shared" si="91"/>
        <v>83.086578183672941</v>
      </c>
      <c r="BG120" s="20">
        <f t="shared" si="61"/>
        <v>767.199363469898</v>
      </c>
      <c r="BH120" s="59">
        <f t="shared" si="62"/>
        <v>1060.5326968032314</v>
      </c>
      <c r="BI120" s="59">
        <f ca="1">AVERAGE(OFFSET($BH$3,0,0,'Données projet'!$E$11+1,1))-AVERAGE(OFFSET($H$3,0,0,'Données projet'!$E$11+1,1))</f>
        <v>646.50767193970182</v>
      </c>
      <c r="BJ120" s="59">
        <f t="shared" si="92"/>
        <v>297.06786598620607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65.233484283703987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65.233484283703987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236.44090080000038</v>
      </c>
      <c r="CA120" s="13">
        <f t="shared" si="93"/>
        <v>57.673108364188977</v>
      </c>
      <c r="CB120" s="20">
        <f t="shared" si="64"/>
        <v>512.24856596096311</v>
      </c>
      <c r="CC120" s="59">
        <f t="shared" si="65"/>
        <v>805.58189929429636</v>
      </c>
      <c r="CD120" s="59">
        <f ca="1">AVERAGE(OFFSET($CC$3,0,0,'Données projet'!$E$12+1,1))-AVERAGE(OFFSET($H$3,0,0,'Données projet'!$E$12+1,1))</f>
        <v>442.85175349826028</v>
      </c>
      <c r="CE120" s="59">
        <f t="shared" si="94"/>
        <v>210.70697808232501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53.190379492866334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53.190379492866334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-7.9808160080574461E-14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289.01603252482897</v>
      </c>
      <c r="T121" s="59">
        <f t="shared" si="88"/>
        <v>233.84231920589906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129.78927540321007</v>
      </c>
      <c r="AA121" s="21">
        <f>EXP(-LN(2)/25)*AA120+(1-EXP(-LN(2)/25))/(LN(2)/25)*Calculateur!V121*Calculateur!X121*VLOOKUP('Données projet'!$B$9,Paramètres!$A$1:$I$89,3,0)*0.475*44/12</f>
        <v>46.828777834179569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176.61805323738963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326.15144640000051</v>
      </c>
      <c r="AK121" s="13">
        <f t="shared" si="89"/>
        <v>76.631859883081802</v>
      </c>
      <c r="AL121" s="20">
        <f t="shared" si="58"/>
        <v>701.51425844303503</v>
      </c>
      <c r="AM121" s="59">
        <f t="shared" si="59"/>
        <v>994.84759177636829</v>
      </c>
      <c r="AN121" s="59">
        <f ca="1">AVERAGE(OFFSET($AM$3,0,0,'Données projet'!$E$10+1,1))-AVERAGE(OFFSET($H$3,0,0,'Données projet'!$E$10+1,1))</f>
        <v>581.88778927327667</v>
      </c>
      <c r="AO121" s="59">
        <f t="shared" si="90"/>
        <v>269.67340993773422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57.066909782046707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57.066909782046707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365.51455200000061</v>
      </c>
      <c r="BF121" s="13">
        <f t="shared" si="91"/>
        <v>84.749009866498071</v>
      </c>
      <c r="BG121" s="20">
        <f t="shared" si="61"/>
        <v>784.20903691748515</v>
      </c>
      <c r="BH121" s="59">
        <f t="shared" si="62"/>
        <v>1077.5423702508185</v>
      </c>
      <c r="BI121" s="59">
        <f ca="1">AVERAGE(OFFSET($BH$3,0,0,'Données projet'!$E$11+1,1))-AVERAGE(OFFSET($H$3,0,0,'Données projet'!$E$11+1,1))</f>
        <v>646.50767193970182</v>
      </c>
      <c r="BJ121" s="59">
        <f t="shared" si="92"/>
        <v>297.06786598620607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63.954295445397179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63.954295445397179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241.80193440000039</v>
      </c>
      <c r="CA121" s="13">
        <f t="shared" si="93"/>
        <v>58.827056507048894</v>
      </c>
      <c r="CB121" s="20">
        <f t="shared" si="64"/>
        <v>523.59549249644408</v>
      </c>
      <c r="CC121" s="59">
        <f t="shared" si="65"/>
        <v>816.92882582977745</v>
      </c>
      <c r="CD121" s="59">
        <f ca="1">AVERAGE(OFFSET($CC$3,0,0,'Données projet'!$E$12+1,1))-AVERAGE(OFFSET($H$3,0,0,'Données projet'!$E$12+1,1))</f>
        <v>442.85175349826028</v>
      </c>
      <c r="CE121" s="59">
        <f t="shared" si="94"/>
        <v>210.70697808232501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52.147348593939242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52.147348593939242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-7.9808160080574461E-14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289.01603252482897</v>
      </c>
      <c r="T122" s="59">
        <f t="shared" si="88"/>
        <v>233.84231920589906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127.24418687619436</v>
      </c>
      <c r="AA122" s="21">
        <f>EXP(-LN(2)/25)*AA121+(1-EXP(-LN(2)/25))/(LN(2)/25)*Calculateur!V122*Calculateur!X122*VLOOKUP('Données projet'!$B$9,Paramètres!$A$1:$I$89,3,0)*0.475*44/12</f>
        <v>45.548242441685531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172.79242931787991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333.38260800000052</v>
      </c>
      <c r="AK122" s="13">
        <f t="shared" si="89"/>
        <v>78.13119132485231</v>
      </c>
      <c r="AL122" s="20">
        <f t="shared" si="58"/>
        <v>716.71986715745197</v>
      </c>
      <c r="AM122" s="59">
        <f t="shared" si="59"/>
        <v>1010.0532004907852</v>
      </c>
      <c r="AN122" s="59">
        <f ca="1">AVERAGE(OFFSET($AM$3,0,0,'Données projet'!$E$10+1,1))-AVERAGE(OFFSET($H$3,0,0,'Données projet'!$E$10+1,1))</f>
        <v>581.88778927327667</v>
      </c>
      <c r="AO122" s="59">
        <f t="shared" si="90"/>
        <v>269.67340993773422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55.947862488598794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55.947862488598794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373.61844000000065</v>
      </c>
      <c r="BF122" s="13">
        <f t="shared" si="91"/>
        <v>86.407156430415824</v>
      </c>
      <c r="BG122" s="20">
        <f t="shared" si="61"/>
        <v>801.21124711630875</v>
      </c>
      <c r="BH122" s="59">
        <f t="shared" si="62"/>
        <v>1094.5445804496421</v>
      </c>
      <c r="BI122" s="59">
        <f ca="1">AVERAGE(OFFSET($BH$3,0,0,'Données projet'!$E$11+1,1))-AVERAGE(OFFSET($H$3,0,0,'Données projet'!$E$11+1,1))</f>
        <v>646.50767193970182</v>
      </c>
      <c r="BJ122" s="59">
        <f t="shared" si="92"/>
        <v>297.06786598620607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62.700190719981414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62.700190719981414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247.16296800000043</v>
      </c>
      <c r="CA122" s="13">
        <f t="shared" si="93"/>
        <v>59.978030208879936</v>
      </c>
      <c r="CB122" s="20">
        <f t="shared" si="64"/>
        <v>534.93723854713335</v>
      </c>
      <c r="CC122" s="59">
        <f t="shared" si="65"/>
        <v>828.2705718804666</v>
      </c>
      <c r="CD122" s="59">
        <f ca="1">AVERAGE(OFFSET($CC$3,0,0,'Données projet'!$E$12+1,1))-AVERAGE(OFFSET($H$3,0,0,'Données projet'!$E$12+1,1))</f>
        <v>442.85175349826028</v>
      </c>
      <c r="CE122" s="59">
        <f t="shared" si="94"/>
        <v>210.70697808232501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51.124770894754079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51.124770894754079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-7.9808160080574461E-14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289.01603252482897</v>
      </c>
      <c r="T123" s="59">
        <f t="shared" si="88"/>
        <v>233.84231920589906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124.7490059828427</v>
      </c>
      <c r="AA123" s="21">
        <f>EXP(-LN(2)/25)*AA122+(1-EXP(-LN(2)/25))/(LN(2)/25)*Calculateur!V123*Calculateur!X123*VLOOKUP('Données projet'!$B$9,Paramètres!$A$1:$I$89,3,0)*0.475*44/12</f>
        <v>44.302723356839671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169.05172933968237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340.61376960000058</v>
      </c>
      <c r="AK123" s="13">
        <f t="shared" si="89"/>
        <v>79.626741793195919</v>
      </c>
      <c r="AL123" s="20">
        <f t="shared" si="58"/>
        <v>731.9188906764839</v>
      </c>
      <c r="AM123" s="59">
        <f t="shared" si="59"/>
        <v>1025.2522240098172</v>
      </c>
      <c r="AN123" s="59">
        <f ca="1">AVERAGE(OFFSET($AM$3,0,0,'Données projet'!$E$10+1,1))-AVERAGE(OFFSET($H$3,0,0,'Données projet'!$E$10+1,1))</f>
        <v>581.88778927327667</v>
      </c>
      <c r="AO123" s="59">
        <f t="shared" si="90"/>
        <v>269.67340993773422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54.850759030023944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54.850759030023944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381.72232800000063</v>
      </c>
      <c r="BF123" s="13">
        <f t="shared" si="91"/>
        <v>88.061121525232409</v>
      </c>
      <c r="BG123" s="20">
        <f t="shared" si="61"/>
        <v>818.20617458978086</v>
      </c>
      <c r="BH123" s="59">
        <f t="shared" si="62"/>
        <v>1111.5395079231141</v>
      </c>
      <c r="BI123" s="59">
        <f ca="1">AVERAGE(OFFSET($BH$3,0,0,'Données projet'!$E$11+1,1))-AVERAGE(OFFSET($H$3,0,0,'Données projet'!$E$11+1,1))</f>
        <v>646.50767193970182</v>
      </c>
      <c r="BJ123" s="59">
        <f t="shared" si="92"/>
        <v>297.06786598620607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61.470678223302698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61.470678223302698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252.52400160000039</v>
      </c>
      <c r="CA123" s="13">
        <f t="shared" si="93"/>
        <v>61.126101416398889</v>
      </c>
      <c r="CB123" s="20">
        <f t="shared" si="64"/>
        <v>546.27392942022868</v>
      </c>
      <c r="CC123" s="59">
        <f t="shared" si="65"/>
        <v>839.60726275356205</v>
      </c>
      <c r="CD123" s="59">
        <f ca="1">AVERAGE(OFFSET($CC$3,0,0,'Données projet'!$E$12+1,1))-AVERAGE(OFFSET($H$3,0,0,'Données projet'!$E$12+1,1))</f>
        <v>442.85175349826028</v>
      </c>
      <c r="CE123" s="59">
        <f t="shared" si="94"/>
        <v>210.70697808232501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50.122245320539129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50.122245320539129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-7.9808160080574461E-14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289.01603252482897</v>
      </c>
      <c r="T124" s="59">
        <f t="shared" si="88"/>
        <v>233.84231920589906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122.3027540648996</v>
      </c>
      <c r="AA124" s="21">
        <f>EXP(-LN(2)/25)*AA123+(1-EXP(-LN(2)/25))/(LN(2)/25)*Calculateur!V124*Calculateur!X124*VLOOKUP('Données projet'!$B$9,Paramètres!$A$1:$I$89,3,0)*0.475*44/12</f>
        <v>43.091263056867923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165.39401712176752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347.84493120000059</v>
      </c>
      <c r="AK124" s="13">
        <f t="shared" si="89"/>
        <v>81.11860080370937</v>
      </c>
      <c r="AL124" s="20">
        <f t="shared" si="58"/>
        <v>747.11148490646144</v>
      </c>
      <c r="AM124" s="59">
        <f t="shared" si="59"/>
        <v>1040.4448182397948</v>
      </c>
      <c r="AN124" s="59">
        <f ca="1">AVERAGE(OFFSET($AM$3,0,0,'Données projet'!$E$10+1,1))-AVERAGE(OFFSET($H$3,0,0,'Données projet'!$E$10+1,1))</f>
        <v>581.88778927327667</v>
      </c>
      <c r="AO124" s="59">
        <f t="shared" si="90"/>
        <v>269.67340993773422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53.775169101104709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53.775169101104709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389.82621600000067</v>
      </c>
      <c r="BF124" s="13">
        <f t="shared" si="91"/>
        <v>89.711004148391098</v>
      </c>
      <c r="BG124" s="20">
        <f t="shared" si="61"/>
        <v>835.19399175844899</v>
      </c>
      <c r="BH124" s="59">
        <f t="shared" si="62"/>
        <v>1128.5273250917824</v>
      </c>
      <c r="BI124" s="59">
        <f ca="1">AVERAGE(OFFSET($BH$3,0,0,'Données projet'!$E$11+1,1))-AVERAGE(OFFSET($H$3,0,0,'Données projet'!$E$11+1,1))</f>
        <v>646.50767193970182</v>
      </c>
      <c r="BJ124" s="59">
        <f t="shared" si="92"/>
        <v>297.06786598620607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60.265275716755283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60.265275716755283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257.8850352000004</v>
      </c>
      <c r="CA124" s="13">
        <f t="shared" si="93"/>
        <v>62.271338846965236</v>
      </c>
      <c r="CB124" s="20">
        <f t="shared" si="64"/>
        <v>557.60568479846518</v>
      </c>
      <c r="CC124" s="59">
        <f t="shared" si="65"/>
        <v>850.93901813179855</v>
      </c>
      <c r="CD124" s="59">
        <f ca="1">AVERAGE(OFFSET($CC$3,0,0,'Données projet'!$E$12+1,1))-AVERAGE(OFFSET($H$3,0,0,'Données projet'!$E$12+1,1))</f>
        <v>442.85175349826028</v>
      </c>
      <c r="CE124" s="59">
        <f t="shared" si="94"/>
        <v>210.70697808232501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49.139378661354314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49.139378661354314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-7.9808160080574461E-14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289.01603252482897</v>
      </c>
      <c r="T125" s="59">
        <f t="shared" si="88"/>
        <v>233.84231920589906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119.90447165500103</v>
      </c>
      <c r="AA125" s="21">
        <f>EXP(-LN(2)/25)*AA124+(1-EXP(-LN(2)/25))/(LN(2)/25)*Calculateur!V125*Calculateur!X125*VLOOKUP('Données projet'!$B$9,Paramètres!$A$1:$I$89,3,0)*0.475*44/12</f>
        <v>41.912930202506836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161.81740185750786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355.07609280000059</v>
      </c>
      <c r="AK125" s="13">
        <f t="shared" si="89"/>
        <v>82.606853937508674</v>
      </c>
      <c r="AL125" s="20">
        <f t="shared" si="58"/>
        <v>762.29779890116197</v>
      </c>
      <c r="AM125" s="59">
        <f t="shared" si="59"/>
        <v>1055.6311322344952</v>
      </c>
      <c r="AN125" s="59">
        <f ca="1">AVERAGE(OFFSET($AM$3,0,0,'Données projet'!$E$10+1,1))-AVERAGE(OFFSET($H$3,0,0,'Données projet'!$E$10+1,1))</f>
        <v>581.88778927327667</v>
      </c>
      <c r="AO125" s="59">
        <f t="shared" si="90"/>
        <v>269.67340993773422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52.720670834646505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52.720670834646505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397.93010400000071</v>
      </c>
      <c r="BF125" s="13">
        <f t="shared" si="91"/>
        <v>91.356898946098624</v>
      </c>
      <c r="BG125" s="20">
        <f t="shared" si="61"/>
        <v>852.17486346445639</v>
      </c>
      <c r="BH125" s="59">
        <f t="shared" si="62"/>
        <v>1145.5081967977897</v>
      </c>
      <c r="BI125" s="59">
        <f ca="1">AVERAGE(OFFSET($BH$3,0,0,'Données projet'!$E$11+1,1))-AVERAGE(OFFSET($H$3,0,0,'Données projet'!$E$11+1,1))</f>
        <v>646.50767193970182</v>
      </c>
      <c r="BJ125" s="59">
        <f t="shared" si="92"/>
        <v>297.06786598620607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59.083510418138331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59.083510418138331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263.24606880000044</v>
      </c>
      <c r="CA125" s="13">
        <f t="shared" si="93"/>
        <v>63.413808197603316</v>
      </c>
      <c r="CB125" s="20">
        <f t="shared" si="64"/>
        <v>568.93261910415981</v>
      </c>
      <c r="CC125" s="59">
        <f t="shared" si="65"/>
        <v>862.26595243749307</v>
      </c>
      <c r="CD125" s="59">
        <f ca="1">AVERAGE(OFFSET($CC$3,0,0,'Données projet'!$E$12+1,1))-AVERAGE(OFFSET($H$3,0,0,'Données projet'!$E$12+1,1))</f>
        <v>442.85175349826028</v>
      </c>
      <c r="CE125" s="59">
        <f t="shared" si="94"/>
        <v>210.70697808232501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48.175785417866642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48.175785417866642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-7.9808160080574461E-14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289.01603252482897</v>
      </c>
      <c r="T126" s="59">
        <f t="shared" si="88"/>
        <v>233.84231920589906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117.55321810035274</v>
      </c>
      <c r="AA126" s="21">
        <f>EXP(-LN(2)/25)*AA125+(1-EXP(-LN(2)/25))/(LN(2)/25)*Calculateur!V126*Calculateur!X126*VLOOKUP('Données projet'!$B$9,Paramètres!$A$1:$I$89,3,0)*0.475*44/12</f>
        <v>40.766818922014082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158.32003702236682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362.3072544000006</v>
      </c>
      <c r="AK126" s="13">
        <f t="shared" si="89"/>
        <v>84.09158309070763</v>
      </c>
      <c r="AL126" s="20">
        <f t="shared" si="58"/>
        <v>777.4779752963168</v>
      </c>
      <c r="AM126" s="59">
        <f t="shared" si="59"/>
        <v>1070.8113086296501</v>
      </c>
      <c r="AN126" s="59">
        <f ca="1">AVERAGE(OFFSET($AM$3,0,0,'Données projet'!$E$10+1,1))-AVERAGE(OFFSET($H$3,0,0,'Données projet'!$E$10+1,1))</f>
        <v>581.88778927327667</v>
      </c>
      <c r="AO126" s="59">
        <f t="shared" si="90"/>
        <v>269.67340993773422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51.686850636013112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51.686850636013112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406.03399200000069</v>
      </c>
      <c r="BF126" s="13">
        <f t="shared" si="91"/>
        <v>92.998896489228883</v>
      </c>
      <c r="BG126" s="20">
        <f t="shared" si="61"/>
        <v>869.14894745207482</v>
      </c>
      <c r="BH126" s="59">
        <f t="shared" si="62"/>
        <v>1162.4822807854082</v>
      </c>
      <c r="BI126" s="59">
        <f ca="1">AVERAGE(OFFSET($BH$3,0,0,'Données projet'!$E$11+1,1))-AVERAGE(OFFSET($H$3,0,0,'Données projet'!$E$11+1,1))</f>
        <v>646.50767193970182</v>
      </c>
      <c r="BJ126" s="59">
        <f t="shared" si="92"/>
        <v>297.06786598620607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57.924918816221599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57.924918816221599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268.60710240000049</v>
      </c>
      <c r="CA126" s="13">
        <f t="shared" si="93"/>
        <v>64.553572336515671</v>
      </c>
      <c r="CB126" s="20">
        <f t="shared" si="64"/>
        <v>580.25484183276569</v>
      </c>
      <c r="CC126" s="59">
        <f t="shared" si="65"/>
        <v>873.58817516609906</v>
      </c>
      <c r="CD126" s="59">
        <f ca="1">AVERAGE(OFFSET($CC$3,0,0,'Données projet'!$E$12+1,1))-AVERAGE(OFFSET($H$3,0,0,'Données projet'!$E$12+1,1))</f>
        <v>442.85175349826028</v>
      </c>
      <c r="CE126" s="59">
        <f t="shared" si="94"/>
        <v>210.70697808232501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47.231087650149924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47.231087650149924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-7.9808160080574461E-14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289.01603252482897</v>
      </c>
      <c r="T127" s="59">
        <f t="shared" si="88"/>
        <v>233.84231920589906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115.24807119378804</v>
      </c>
      <c r="AA127" s="21">
        <f>EXP(-LN(2)/25)*AA126+(1-EXP(-LN(2)/25))/(LN(2)/25)*Calculateur!V127*Calculateur!X127*VLOOKUP('Données projet'!$B$9,Paramètres!$A$1:$I$89,3,0)*0.475*44/12</f>
        <v>39.652048114757775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154.90011930854581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369.53841600000061</v>
      </c>
      <c r="AK127" s="13">
        <f t="shared" si="89"/>
        <v>85.572866703416025</v>
      </c>
      <c r="AL127" s="20">
        <f t="shared" si="58"/>
        <v>792.65215070845068</v>
      </c>
      <c r="AM127" s="59">
        <f t="shared" si="59"/>
        <v>1085.985484041784</v>
      </c>
      <c r="AN127" s="59">
        <f ca="1">AVERAGE(OFFSET($AM$3,0,0,'Données projet'!$E$10+1,1))-AVERAGE(OFFSET($H$3,0,0,'Données projet'!$E$10+1,1))</f>
        <v>581.88778927327667</v>
      </c>
      <c r="AO127" s="59">
        <f t="shared" si="90"/>
        <v>269.67340993773422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64.229154721898368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64.229154721898368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414.13788000000073</v>
      </c>
      <c r="BF127" s="13">
        <f t="shared" si="91"/>
        <v>94.637083526579147</v>
      </c>
      <c r="BG127" s="20">
        <f t="shared" si="61"/>
        <v>886.1163948087933</v>
      </c>
      <c r="BH127" s="59">
        <f t="shared" si="62"/>
        <v>1179.4497281421266</v>
      </c>
      <c r="BI127" s="59">
        <f ca="1">AVERAGE(OFFSET($BH$3,0,0,'Données projet'!$E$11+1,1))-AVERAGE(OFFSET($H$3,0,0,'Données projet'!$E$11+1,1))</f>
        <v>646.50767193970182</v>
      </c>
      <c r="BJ127" s="59">
        <f t="shared" si="92"/>
        <v>297.06786598620607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71.980949257299912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71.980949257299912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273.96813600000047</v>
      </c>
      <c r="CA127" s="13">
        <f t="shared" si="93"/>
        <v>65.690691478876531</v>
      </c>
      <c r="CB127" s="20">
        <f t="shared" si="64"/>
        <v>591.57245785904422</v>
      </c>
      <c r="CC127" s="59">
        <f t="shared" si="65"/>
        <v>884.90579119237759</v>
      </c>
      <c r="CD127" s="59">
        <f ca="1">AVERAGE(OFFSET($CC$3,0,0,'Données projet'!$E$12+1,1))-AVERAGE(OFFSET($H$3,0,0,'Données projet'!$E$12+1,1))</f>
        <v>442.85175349826028</v>
      </c>
      <c r="CE127" s="59">
        <f t="shared" si="94"/>
        <v>210.70697808232501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0.318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58.692158625183005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58.692158625183005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-7.9808160080574461E-14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289.01603252482897</v>
      </c>
      <c r="T128" s="59">
        <f t="shared" si="88"/>
        <v>233.84231920589906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112.98812681206029</v>
      </c>
      <c r="AA128" s="21">
        <f>EXP(-LN(2)/25)*AA127+(1-EXP(-LN(2)/25))/(LN(2)/25)*Calculateur!V128*Calculateur!X128*VLOOKUP('Données projet'!$B$9,Paramètres!$A$1:$I$89,3,0)*0.475*44/12</f>
        <v>38.567760773849137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151.55588758590943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329.31100800000064</v>
      </c>
      <c r="AK128" s="13">
        <f t="shared" si="89"/>
        <v>77.287444180583748</v>
      </c>
      <c r="AL128" s="20">
        <f t="shared" si="58"/>
        <v>708.15897088118447</v>
      </c>
      <c r="AM128" s="59">
        <f t="shared" si="59"/>
        <v>1001.4923042145178</v>
      </c>
      <c r="AN128" s="59">
        <f ca="1">AVERAGE(OFFSET($AM$3,0,0,'Données projet'!$E$10+1,1))-AVERAGE(OFFSET($H$3,0,0,'Données projet'!$E$10+1,1))</f>
        <v>581.88778927327667</v>
      </c>
      <c r="AO128" s="59">
        <f t="shared" si="90"/>
        <v>269.67340993773422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62.969660173718019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62.969660173718019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369.05544000000071</v>
      </c>
      <c r="BF128" s="13">
        <f t="shared" si="91"/>
        <v>85.474036248241589</v>
      </c>
      <c r="BG128" s="20">
        <f t="shared" si="61"/>
        <v>791.63883779902199</v>
      </c>
      <c r="BH128" s="59">
        <f t="shared" si="62"/>
        <v>1084.9721711323552</v>
      </c>
      <c r="BI128" s="59">
        <f ca="1">AVERAGE(OFFSET($BH$3,0,0,'Données projet'!$E$11+1,1))-AVERAGE(OFFSET($H$3,0,0,'Données projet'!$E$11+1,1))</f>
        <v>646.50767193970182</v>
      </c>
      <c r="BJ128" s="59">
        <f t="shared" si="92"/>
        <v>297.06786598620607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70.569446746408147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70.569446746408147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244.1443680000005</v>
      </c>
      <c r="CA128" s="13">
        <f t="shared" si="93"/>
        <v>59.330321005302253</v>
      </c>
      <c r="CB128" s="20">
        <f t="shared" si="64"/>
        <v>528.55175001756891</v>
      </c>
      <c r="CC128" s="59">
        <f t="shared" si="65"/>
        <v>821.88508335090228</v>
      </c>
      <c r="CD128" s="59">
        <f ca="1">AVERAGE(OFFSET($CC$3,0,0,'Données projet'!$E$12+1,1))-AVERAGE(OFFSET($H$3,0,0,'Données projet'!$E$12+1,1))</f>
        <v>442.85175349826028</v>
      </c>
      <c r="CE128" s="59">
        <f t="shared" si="94"/>
        <v>210.70697808232501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57.541241193225105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57.541241193225105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-7.9808160080574461E-14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289.01603252482897</v>
      </c>
      <c r="T129" s="59">
        <f t="shared" si="88"/>
        <v>233.84231920589906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110.77249856122826</v>
      </c>
      <c r="AA129" s="21">
        <f>EXP(-LN(2)/25)*AA128+(1-EXP(-LN(2)/25))/(LN(2)/25)*Calculateur!V129*Calculateur!X129*VLOOKUP('Données projet'!$B$9,Paramètres!$A$1:$I$89,3,0)*0.475*44/12</f>
        <v>37.513123327297841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148.28562188852609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336.61274400000065</v>
      </c>
      <c r="AK129" s="13">
        <f t="shared" si="89"/>
        <v>78.799710600410648</v>
      </c>
      <c r="AL129" s="20">
        <f t="shared" si="58"/>
        <v>723.51002509571629</v>
      </c>
      <c r="AM129" s="59">
        <f t="shared" si="59"/>
        <v>1016.8433584290497</v>
      </c>
      <c r="AN129" s="59">
        <f ca="1">AVERAGE(OFFSET($AM$3,0,0,'Données projet'!$E$10+1,1))-AVERAGE(OFFSET($H$3,0,0,'Données projet'!$E$10+1,1))</f>
        <v>581.88778927327667</v>
      </c>
      <c r="AO129" s="59">
        <f t="shared" si="90"/>
        <v>269.67340993773422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61.73486354541167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61.73486354541167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377.23842000000076</v>
      </c>
      <c r="BF129" s="13">
        <f t="shared" si="91"/>
        <v>87.146487914300891</v>
      </c>
      <c r="BG129" s="20">
        <f t="shared" si="61"/>
        <v>808.80371461740867</v>
      </c>
      <c r="BH129" s="59">
        <f t="shared" si="62"/>
        <v>1102.137047950742</v>
      </c>
      <c r="BI129" s="59">
        <f ca="1">AVERAGE(OFFSET($BH$3,0,0,'Données projet'!$E$11+1,1))-AVERAGE(OFFSET($H$3,0,0,'Données projet'!$E$11+1,1))</f>
        <v>646.50767193970182</v>
      </c>
      <c r="BJ129" s="59">
        <f t="shared" si="92"/>
        <v>297.06786598620607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69.185622938823442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69.185622938823442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249.55772400000046</v>
      </c>
      <c r="CA129" s="13">
        <f t="shared" si="93"/>
        <v>60.49122434587882</v>
      </c>
      <c r="CB129" s="20">
        <f t="shared" si="64"/>
        <v>540.00191836907311</v>
      </c>
      <c r="CC129" s="59">
        <f t="shared" si="65"/>
        <v>833.33525170240637</v>
      </c>
      <c r="CD129" s="59">
        <f ca="1">AVERAGE(OFFSET($CC$3,0,0,'Données projet'!$E$12+1,1))-AVERAGE(OFFSET($H$3,0,0,'Données projet'!$E$12+1,1))</f>
        <v>442.85175349826028</v>
      </c>
      <c r="CE129" s="59">
        <f t="shared" si="94"/>
        <v>210.70697808232501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56.412892550117576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56.412892550117576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-7.9808160080574461E-14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289.01603252482897</v>
      </c>
      <c r="T130" s="59">
        <f t="shared" si="88"/>
        <v>233.84231920589906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108.60031742899525</v>
      </c>
      <c r="AA130" s="21">
        <f>EXP(-LN(2)/25)*AA129+(1-EXP(-LN(2)/25))/(LN(2)/25)*Calculateur!V130*Calculateur!X130*VLOOKUP('Données projet'!$B$9,Paramètres!$A$1:$I$89,3,0)*0.475*44/12</f>
        <v>36.487324997183464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145.08764242617872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343.91448000000065</v>
      </c>
      <c r="AK130" s="13">
        <f t="shared" si="89"/>
        <v>80.308163160675235</v>
      </c>
      <c r="AL130" s="20">
        <f t="shared" si="58"/>
        <v>738.85443683817709</v>
      </c>
      <c r="AM130" s="59">
        <f t="shared" si="59"/>
        <v>1032.1877701715105</v>
      </c>
      <c r="AN130" s="59">
        <f ca="1">AVERAGE(OFFSET($AM$3,0,0,'Données projet'!$E$10+1,1))-AVERAGE(OFFSET($H$3,0,0,'Données projet'!$E$10+1,1))</f>
        <v>581.88778927327667</v>
      </c>
      <c r="AO130" s="59">
        <f t="shared" si="90"/>
        <v>269.67340993773422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60.524280525834833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60.524280525834833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385.42140000000074</v>
      </c>
      <c r="BF130" s="13">
        <f t="shared" si="91"/>
        <v>88.814721741694029</v>
      </c>
      <c r="BG130" s="20">
        <f t="shared" si="61"/>
        <v>825.96124536678508</v>
      </c>
      <c r="BH130" s="59">
        <f t="shared" si="62"/>
        <v>1119.2945787001183</v>
      </c>
      <c r="BI130" s="59">
        <f ca="1">AVERAGE(OFFSET($BH$3,0,0,'Données projet'!$E$11+1,1))-AVERAGE(OFFSET($H$3,0,0,'Données projet'!$E$11+1,1))</f>
        <v>646.50767193970182</v>
      </c>
      <c r="BJ130" s="59">
        <f t="shared" si="92"/>
        <v>297.06786598620607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67.828935072056296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67.828935072056296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254.97108000000048</v>
      </c>
      <c r="CA130" s="13">
        <f t="shared" si="93"/>
        <v>61.649199946840042</v>
      </c>
      <c r="CB130" s="20">
        <f t="shared" si="64"/>
        <v>551.44698757408059</v>
      </c>
      <c r="CC130" s="59">
        <f t="shared" si="65"/>
        <v>844.78032090741385</v>
      </c>
      <c r="CD130" s="59">
        <f ca="1">AVERAGE(OFFSET($CC$3,0,0,'Données projet'!$E$12+1,1))-AVERAGE(OFFSET($H$3,0,0,'Données projet'!$E$12+1,1))</f>
        <v>442.85175349826028</v>
      </c>
      <c r="CE130" s="59">
        <f t="shared" si="94"/>
        <v>210.70697808232501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55.306670135676669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55.306670135676669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-7.9808160080574461E-14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289.01603252482897</v>
      </c>
      <c r="T131" s="59">
        <f t="shared" si="88"/>
        <v>233.84231920589906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106.47073144386566</v>
      </c>
      <c r="AA131" s="21">
        <f>EXP(-LN(2)/25)*AA130+(1-EXP(-LN(2)/25))/(LN(2)/25)*Calculateur!V131*Calculateur!X131*VLOOKUP('Données projet'!$B$9,Paramètres!$A$1:$I$89,3,0)*0.475*44/12</f>
        <v>35.489577176350451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141.9603086202161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351.2162160000006</v>
      </c>
      <c r="AK131" s="13">
        <f t="shared" si="89"/>
        <v>81.812892161752615</v>
      </c>
      <c r="AL131" s="20">
        <f t="shared" si="58"/>
        <v>754.19236338172016</v>
      </c>
      <c r="AM131" s="59">
        <f t="shared" si="59"/>
        <v>1047.5256967150535</v>
      </c>
      <c r="AN131" s="59">
        <f ca="1">AVERAGE(OFFSET($AM$3,0,0,'Données projet'!$E$10+1,1))-AVERAGE(OFFSET($H$3,0,0,'Données projet'!$E$10+1,1))</f>
        <v>581.88778927327667</v>
      </c>
      <c r="AO131" s="59">
        <f t="shared" si="90"/>
        <v>269.67340993773422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59.337436300889166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59.337436300889166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393.60438000000073</v>
      </c>
      <c r="BF131" s="13">
        <f t="shared" si="91"/>
        <v>90.478837595769321</v>
      </c>
      <c r="BG131" s="20">
        <f t="shared" si="61"/>
        <v>843.1116039792995</v>
      </c>
      <c r="BH131" s="59">
        <f t="shared" si="62"/>
        <v>1136.4449373126329</v>
      </c>
      <c r="BI131" s="59">
        <f ca="1">AVERAGE(OFFSET($BH$3,0,0,'Données projet'!$E$11+1,1))-AVERAGE(OFFSET($H$3,0,0,'Données projet'!$E$11+1,1))</f>
        <v>646.50767193970182</v>
      </c>
      <c r="BJ131" s="59">
        <f t="shared" si="92"/>
        <v>297.06786598620607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66.49885102685856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66.49885102685856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260.38443600000045</v>
      </c>
      <c r="CA131" s="13">
        <f t="shared" si="93"/>
        <v>62.804317127986735</v>
      </c>
      <c r="CB131" s="20">
        <f t="shared" si="64"/>
        <v>562.88707836457763</v>
      </c>
      <c r="CC131" s="59">
        <f t="shared" si="65"/>
        <v>856.220411697911</v>
      </c>
      <c r="CD131" s="59">
        <f ca="1">AVERAGE(OFFSET($CC$3,0,0,'Données projet'!$E$12+1,1))-AVERAGE(OFFSET($H$3,0,0,'Données projet'!$E$12+1,1))</f>
        <v>442.85175349826028</v>
      </c>
      <c r="CE131" s="59">
        <f t="shared" si="94"/>
        <v>210.70697808232501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54.222140068053903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54.222140068053903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-7.9808160080574461E-14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289.01603252482897</v>
      </c>
      <c r="T132" s="59">
        <f t="shared" si="88"/>
        <v>233.84231920589906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104.38290534098527</v>
      </c>
      <c r="AA132" s="21">
        <f>EXP(-LN(2)/25)*AA131+(1-EXP(-LN(2)/25))/(LN(2)/25)*Calculateur!V132*Calculateur!X132*VLOOKUP('Données projet'!$B$9,Paramètres!$A$1:$I$89,3,0)*0.475*44/12</f>
        <v>34.519112822147399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138.90201816313268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358.51795200000061</v>
      </c>
      <c r="AK132" s="13">
        <f t="shared" si="89"/>
        <v>83.313983934777241</v>
      </c>
      <c r="AL132" s="20">
        <f t="shared" ref="AL132:AL153" si="112">(AJ132+AK132)*0.475*44/12</f>
        <v>769.52395508640473</v>
      </c>
      <c r="AM132" s="59">
        <f t="shared" ref="AM132:AM195" si="113">AL132+(AD132+AE132)*44/12</f>
        <v>1062.8572884197381</v>
      </c>
      <c r="AN132" s="59">
        <f ca="1">AVERAGE(OFFSET($AM$3,0,0,'Données projet'!$E$10+1,1))-AVERAGE(OFFSET($H$3,0,0,'Données projet'!$E$10+1,1))</f>
        <v>581.88778927327667</v>
      </c>
      <c r="AO132" s="59">
        <f t="shared" si="90"/>
        <v>269.67340993773422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58.173865367291185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58.173865367291185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401.78736000000072</v>
      </c>
      <c r="BF132" s="13">
        <f t="shared" si="91"/>
        <v>92.138930952196844</v>
      </c>
      <c r="BG132" s="20">
        <f t="shared" ref="BG132:BG153" si="115">(BE132+BF132)*0.475*44/12</f>
        <v>860.25495674174408</v>
      </c>
      <c r="BH132" s="59">
        <f t="shared" ref="BH132:BH195" si="116">BG132+(AY132+AZ132)*44/12</f>
        <v>1153.5882900750773</v>
      </c>
      <c r="BI132" s="59">
        <f ca="1">AVERAGE(OFFSET($BH$3,0,0,'Données projet'!$E$11+1,1))-AVERAGE(OFFSET($H$3,0,0,'Données projet'!$E$11+1,1))</f>
        <v>646.50767193970182</v>
      </c>
      <c r="BJ132" s="59">
        <f t="shared" si="92"/>
        <v>297.06786598620607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65.19484911851599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65.19484911851599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265.79779200000047</v>
      </c>
      <c r="CA132" s="13">
        <f t="shared" si="93"/>
        <v>63.956642162100721</v>
      </c>
      <c r="CB132" s="20">
        <f t="shared" ref="CB132:CB153" si="118">(BZ132+CA132)*0.475*44/12</f>
        <v>574.32230616565948</v>
      </c>
      <c r="CC132" s="59">
        <f t="shared" ref="CC132:CC195" si="119">CB132+(BT132+BU132)*44/12</f>
        <v>867.65563949899274</v>
      </c>
      <c r="CD132" s="59">
        <f ca="1">AVERAGE(OFFSET($CC$3,0,0,'Données projet'!$E$12+1,1))-AVERAGE(OFFSET($H$3,0,0,'Données projet'!$E$12+1,1))</f>
        <v>442.85175349826028</v>
      </c>
      <c r="CE132" s="59">
        <f t="shared" si="94"/>
        <v>210.70697808232501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53.158876973559195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53.158876973559195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-7.9808160080574461E-14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289.01603252482897</v>
      </c>
      <c r="T133" s="59">
        <f t="shared" ref="T133:T196" si="142">$T$3</f>
        <v>233.84231920589906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102.33602023453419</v>
      </c>
      <c r="AA133" s="21">
        <f>EXP(-LN(2)/25)*AA132+(1-EXP(-LN(2)/25))/(LN(2)/25)*Calculateur!V133*Calculateur!X133*VLOOKUP('Données projet'!$B$9,Paramètres!$A$1:$I$89,3,0)*0.475*44/12</f>
        <v>33.575185866744526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135.91120610127871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365.81968800000061</v>
      </c>
      <c r="AK133" s="13">
        <f t="shared" ref="AK133:AK153" si="143">EXP(-1.0587+0.8836*LN(AJ133)+0.284)</f>
        <v>84.811521093342051</v>
      </c>
      <c r="AL133" s="20">
        <f t="shared" si="112"/>
        <v>784.84935583757169</v>
      </c>
      <c r="AM133" s="59">
        <f t="shared" si="113"/>
        <v>1078.182689170905</v>
      </c>
      <c r="AN133" s="59">
        <f ca="1">AVERAGE(OFFSET($AM$3,0,0,'Données projet'!$E$10+1,1))-AVERAGE(OFFSET($H$3,0,0,'Données projet'!$E$10+1,1))</f>
        <v>581.88778927327667</v>
      </c>
      <c r="AO133" s="59">
        <f t="shared" ref="AO133:AO196" si="144">$AO$3</f>
        <v>269.67340993773422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57.033111349992865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57.033111349992865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409.9703400000007</v>
      </c>
      <c r="BF133" s="13">
        <f t="shared" ref="BF133:BF153" si="145">EXP(-1.0587+0.8836*LN(BE133)+0.284)</f>
        <v>93.795093175328134</v>
      </c>
      <c r="BG133" s="20">
        <f t="shared" si="115"/>
        <v>877.39146278036435</v>
      </c>
      <c r="BH133" s="59">
        <f t="shared" si="116"/>
        <v>1170.7247961136977</v>
      </c>
      <c r="BI133" s="59">
        <f ca="1">AVERAGE(OFFSET($BH$3,0,0,'Données projet'!$E$11+1,1))-AVERAGE(OFFSET($H$3,0,0,'Données projet'!$E$11+1,1))</f>
        <v>646.50767193970182</v>
      </c>
      <c r="BJ133" s="59">
        <f t="shared" ref="BJ133:BJ196" si="146">$BJ$3</f>
        <v>297.06786598620607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63.91641789223339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63.91641789223339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271.21114800000049</v>
      </c>
      <c r="CA133" s="13">
        <f t="shared" ref="CA133:CA153" si="147">EXP(-1.0587+0.8836*LN(BZ133)+0.284)</f>
        <v>65.106238468163269</v>
      </c>
      <c r="CB133" s="20">
        <f t="shared" si="118"/>
        <v>585.75278143205185</v>
      </c>
      <c r="CC133" s="59">
        <f t="shared" si="119"/>
        <v>879.08611476538522</v>
      </c>
      <c r="CD133" s="59">
        <f ca="1">AVERAGE(OFFSET($CC$3,0,0,'Données projet'!$E$12+1,1))-AVERAGE(OFFSET($H$3,0,0,'Données projet'!$E$12+1,1))</f>
        <v>442.85175349826028</v>
      </c>
      <c r="CE133" s="59">
        <f t="shared" ref="CE133:CE196" si="148">$CE$3</f>
        <v>210.70697808232501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52.116463819821078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52.116463819821078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-7.9808160080574461E-14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289.01603252482897</v>
      </c>
      <c r="T134" s="59">
        <f t="shared" si="142"/>
        <v>233.84231920589906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100.32927329654397</v>
      </c>
      <c r="AA134" s="21">
        <f>EXP(-LN(2)/25)*AA133+(1-EXP(-LN(2)/25))/(LN(2)/25)*Calculateur!V134*Calculateur!X134*VLOOKUP('Données projet'!$B$9,Paramètres!$A$1:$I$89,3,0)*0.475*44/12</f>
        <v>32.657070643576112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132.98634394012009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373.12142400000062</v>
      </c>
      <c r="AK134" s="13">
        <f t="shared" si="143"/>
        <v>86.305582764533938</v>
      </c>
      <c r="AL134" s="20">
        <f t="shared" si="112"/>
        <v>800.16870344823099</v>
      </c>
      <c r="AM134" s="59">
        <f t="shared" si="113"/>
        <v>1093.5020367815644</v>
      </c>
      <c r="AN134" s="59">
        <f ca="1">AVERAGE(OFFSET($AM$3,0,0,'Données projet'!$E$10+1,1))-AVERAGE(OFFSET($H$3,0,0,'Données projet'!$E$10+1,1))</f>
        <v>581.88778927327667</v>
      </c>
      <c r="AO134" s="59">
        <f t="shared" si="144"/>
        <v>269.67340993773422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55.914726823182519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55.914726823182519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418.15332000000069</v>
      </c>
      <c r="BF134" s="13">
        <f t="shared" si="145"/>
        <v>95.44741177370463</v>
      </c>
      <c r="BG134" s="20">
        <f t="shared" si="115"/>
        <v>894.52127450587011</v>
      </c>
      <c r="BH134" s="59">
        <f t="shared" si="116"/>
        <v>1187.8546078392035</v>
      </c>
      <c r="BI134" s="59">
        <f ca="1">AVERAGE(OFFSET($BH$3,0,0,'Données projet'!$E$11+1,1))-AVERAGE(OFFSET($H$3,0,0,'Données projet'!$E$11+1,1))</f>
        <v>646.50767193970182</v>
      </c>
      <c r="BJ134" s="59">
        <f t="shared" si="146"/>
        <v>297.06786598620607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62.663055922532145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62.663055922532145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276.62450400000046</v>
      </c>
      <c r="CA134" s="13">
        <f t="shared" si="147"/>
        <v>66.253166788711951</v>
      </c>
      <c r="CB134" s="20">
        <f t="shared" si="118"/>
        <v>597.17860995700732</v>
      </c>
      <c r="CC134" s="59">
        <f t="shared" si="119"/>
        <v>890.5119432903407</v>
      </c>
      <c r="CD134" s="59">
        <f ca="1">AVERAGE(OFFSET($CC$3,0,0,'Données projet'!$E$12+1,1))-AVERAGE(OFFSET($H$3,0,0,'Données projet'!$E$12+1,1))</f>
        <v>442.85175349826028</v>
      </c>
      <c r="CE134" s="59">
        <f t="shared" si="148"/>
        <v>210.70697808232501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51.094491752218524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51.094491752218524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-7.9808160080574461E-14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289.01603252482897</v>
      </c>
      <c r="T135" s="59">
        <f t="shared" si="142"/>
        <v>233.84231920589906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98.361877442012968</v>
      </c>
      <c r="AA135" s="21">
        <f>EXP(-LN(2)/25)*AA134+(1-EXP(-LN(2)/25))/(LN(2)/25)*Calculateur!V135*Calculateur!X135*VLOOKUP('Données projet'!$B$9,Paramètres!$A$1:$I$89,3,0)*0.475*44/12</f>
        <v>31.764061329466816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130.12593877147978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380.42316000000056</v>
      </c>
      <c r="AK135" s="13">
        <f t="shared" si="143"/>
        <v>87.79624480137376</v>
      </c>
      <c r="AL135" s="20">
        <f t="shared" si="112"/>
        <v>815.48213002906016</v>
      </c>
      <c r="AM135" s="59">
        <f t="shared" si="113"/>
        <v>1108.8154633623935</v>
      </c>
      <c r="AN135" s="59">
        <f ca="1">AVERAGE(OFFSET($AM$3,0,0,'Données projet'!$E$10+1,1))-AVERAGE(OFFSET($H$3,0,0,'Données projet'!$E$10+1,1))</f>
        <v>581.88778927327667</v>
      </c>
      <c r="AO135" s="59">
        <f t="shared" si="144"/>
        <v>269.67340993773422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54.818273134795724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54.818273134795724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426.33630000000073</v>
      </c>
      <c r="BF135" s="13">
        <f t="shared" si="145"/>
        <v>97.095970634999375</v>
      </c>
      <c r="BG135" s="20">
        <f t="shared" si="115"/>
        <v>911.64453802262517</v>
      </c>
      <c r="BH135" s="59">
        <f t="shared" si="116"/>
        <v>1204.9778713559585</v>
      </c>
      <c r="BI135" s="59">
        <f ca="1">AVERAGE(OFFSET($BH$3,0,0,'Données projet'!$E$11+1,1))-AVERAGE(OFFSET($H$3,0,0,'Données projet'!$E$11+1,1))</f>
        <v>646.50767193970182</v>
      </c>
      <c r="BJ135" s="59">
        <f t="shared" si="146"/>
        <v>297.06786598620607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61.43427161658142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61.43427161658142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282.03786000000042</v>
      </c>
      <c r="CA135" s="13">
        <f t="shared" si="147"/>
        <v>67.397485352921152</v>
      </c>
      <c r="CB135" s="20">
        <f t="shared" si="118"/>
        <v>608.59989315633834</v>
      </c>
      <c r="CC135" s="59">
        <f t="shared" si="119"/>
        <v>901.9332264896716</v>
      </c>
      <c r="CD135" s="59">
        <f ca="1">AVERAGE(OFFSET($CC$3,0,0,'Données projet'!$E$12+1,1))-AVERAGE(OFFSET($H$3,0,0,'Données projet'!$E$12+1,1))</f>
        <v>442.85175349826028</v>
      </c>
      <c r="CE135" s="59">
        <f t="shared" si="148"/>
        <v>210.70697808232501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50.092559933520242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50.092559933520242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-7.9808160080574461E-14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289.01603252482897</v>
      </c>
      <c r="T136" s="59">
        <f t="shared" si="142"/>
        <v>233.84231920589906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96.433061020196334</v>
      </c>
      <c r="AA136" s="21">
        <f>EXP(-LN(2)/25)*AA135+(1-EXP(-LN(2)/25))/(LN(2)/25)*Calculateur!V136*Calculateur!X136*VLOOKUP('Données projet'!$B$9,Paramètres!$A$1:$I$89,3,0)*0.475*44/12</f>
        <v>30.895471402013158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127.32853242220949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387.72489600000057</v>
      </c>
      <c r="AK136" s="13">
        <f t="shared" si="143"/>
        <v>89.283579978484866</v>
      </c>
      <c r="AL136" s="20">
        <f t="shared" si="112"/>
        <v>830.78976232919547</v>
      </c>
      <c r="AM136" s="59">
        <f t="shared" si="113"/>
        <v>1124.1230956625288</v>
      </c>
      <c r="AN136" s="59">
        <f ca="1">AVERAGE(OFFSET($AM$3,0,0,'Données projet'!$E$10+1,1))-AVERAGE(OFFSET($H$3,0,0,'Données projet'!$E$10+1,1))</f>
        <v>581.88778927327667</v>
      </c>
      <c r="AO136" s="59">
        <f t="shared" si="144"/>
        <v>269.67340993773422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53.743320234467475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53.743320234467475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434.51928000000072</v>
      </c>
      <c r="BF136" s="13">
        <f t="shared" si="145"/>
        <v>98.740850242411952</v>
      </c>
      <c r="BG136" s="20">
        <f t="shared" si="115"/>
        <v>928.76139350553524</v>
      </c>
      <c r="BH136" s="59">
        <f t="shared" si="116"/>
        <v>1222.0947268388686</v>
      </c>
      <c r="BI136" s="59">
        <f ca="1">AVERAGE(OFFSET($BH$3,0,0,'Données projet'!$E$11+1,1))-AVERAGE(OFFSET($H$3,0,0,'Données projet'!$E$11+1,1))</f>
        <v>646.50767193970182</v>
      </c>
      <c r="BJ136" s="59">
        <f t="shared" si="146"/>
        <v>297.06786598620607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60.22958302138597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60.22958302138597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287.45121600000044</v>
      </c>
      <c r="CA136" s="13">
        <f t="shared" si="147"/>
        <v>68.539250026809071</v>
      </c>
      <c r="CB136" s="20">
        <f t="shared" si="118"/>
        <v>620.01672833002647</v>
      </c>
      <c r="CC136" s="59">
        <f t="shared" si="119"/>
        <v>913.35006166335984</v>
      </c>
      <c r="CD136" s="59">
        <f ca="1">AVERAGE(OFFSET($CC$3,0,0,'Données projet'!$E$12+1,1))-AVERAGE(OFFSET($H$3,0,0,'Données projet'!$E$12+1,1))</f>
        <v>442.85175349826028</v>
      </c>
      <c r="CE136" s="59">
        <f t="shared" si="148"/>
        <v>210.70697808232501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49.110275386668569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49.110275386668569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-7.9808160080574461E-14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289.01603252482897</v>
      </c>
      <c r="T137" s="59">
        <f t="shared" si="142"/>
        <v>233.84231920589906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94.542067511949682</v>
      </c>
      <c r="AA137" s="21">
        <f>EXP(-LN(2)/25)*AA136+(1-EXP(-LN(2)/25))/(LN(2)/25)*Calculateur!V137*Calculateur!X137*VLOOKUP('Données projet'!$B$9,Paramètres!$A$1:$I$89,3,0)*0.475*44/12</f>
        <v>30.050633111802878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124.59270062375256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395.02663200000057</v>
      </c>
      <c r="AK137" s="13">
        <f t="shared" si="143"/>
        <v>90.767658172605465</v>
      </c>
      <c r="AL137" s="20">
        <f t="shared" si="112"/>
        <v>846.09172205062214</v>
      </c>
      <c r="AM137" s="59">
        <f t="shared" si="113"/>
        <v>1139.4250553839554</v>
      </c>
      <c r="AN137" s="59">
        <f ca="1">AVERAGE(OFFSET($AM$3,0,0,'Données projet'!$E$10+1,1))-AVERAGE(OFFSET($H$3,0,0,'Données projet'!$E$10+1,1))</f>
        <v>581.88778927327667</v>
      </c>
      <c r="AO137" s="59">
        <f t="shared" si="144"/>
        <v>269.67340993773422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66.869801558531918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66.869801558531918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442.70226000000071</v>
      </c>
      <c r="BF137" s="13">
        <f t="shared" si="145"/>
        <v>100.38212787430139</v>
      </c>
      <c r="BG137" s="20">
        <f t="shared" si="115"/>
        <v>945.87197554774275</v>
      </c>
      <c r="BH137" s="59">
        <f t="shared" si="116"/>
        <v>1239.205308881076</v>
      </c>
      <c r="BI137" s="59">
        <f ca="1">AVERAGE(OFFSET($BH$3,0,0,'Données projet'!$E$11+1,1))-AVERAGE(OFFSET($H$3,0,0,'Données projet'!$E$11+1,1))</f>
        <v>646.50767193970182</v>
      </c>
      <c r="BJ137" s="59">
        <f t="shared" si="146"/>
        <v>297.06786598620607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74.940294850078871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74.940294850078871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292.86457200000046</v>
      </c>
      <c r="CA137" s="13">
        <f t="shared" si="147"/>
        <v>69.678514451809619</v>
      </c>
      <c r="CB137" s="20">
        <f t="shared" si="118"/>
        <v>631.42920890356925</v>
      </c>
      <c r="CC137" s="59">
        <f t="shared" si="119"/>
        <v>924.76254223690262</v>
      </c>
      <c r="CD137" s="59">
        <f ca="1">AVERAGE(OFFSET($CC$3,0,0,'Données projet'!$E$12+1,1))-AVERAGE(OFFSET($H$3,0,0,'Données projet'!$E$12+1,1))</f>
        <v>442.85175349826028</v>
      </c>
      <c r="CE137" s="59">
        <f t="shared" si="148"/>
        <v>210.70697808232501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0.318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61.105163493141241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61.105163493141241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-7.9808160080574461E-14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289.01603252482897</v>
      </c>
      <c r="T138" s="59">
        <f t="shared" si="142"/>
        <v>233.84231920589906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92.688155233007592</v>
      </c>
      <c r="AA138" s="21">
        <f>EXP(-LN(2)/25)*AA137+(1-EXP(-LN(2)/25))/(LN(2)/25)*Calculateur!V138*Calculateur!X138*VLOOKUP('Données projet'!$B$9,Paramètres!$A$1:$I$89,3,0)*0.475*44/12</f>
        <v>29.228896969066515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121.9170522020741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352.69013520000055</v>
      </c>
      <c r="AK138" s="13">
        <f t="shared" si="143"/>
        <v>82.116190931394016</v>
      </c>
      <c r="AL138" s="20">
        <f t="shared" si="112"/>
        <v>757.28768467884549</v>
      </c>
      <c r="AM138" s="59">
        <f t="shared" si="113"/>
        <v>1050.6210180121789</v>
      </c>
      <c r="AN138" s="59">
        <f ca="1">AVERAGE(OFFSET($AM$3,0,0,'Données projet'!$E$10+1,1))-AVERAGE(OFFSET($H$3,0,0,'Données projet'!$E$10+1,1))</f>
        <v>581.88778927327667</v>
      </c>
      <c r="AO138" s="59">
        <f t="shared" si="144"/>
        <v>269.67340993773422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65.558525536520719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65.558525536520719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395.2561860000007</v>
      </c>
      <c r="BF138" s="13">
        <f t="shared" si="145"/>
        <v>90.814262971847356</v>
      </c>
      <c r="BG138" s="20">
        <f t="shared" si="115"/>
        <v>846.57269862596866</v>
      </c>
      <c r="BH138" s="59">
        <f t="shared" si="116"/>
        <v>1139.906031959302</v>
      </c>
      <c r="BI138" s="59">
        <f ca="1">AVERAGE(OFFSET($BH$3,0,0,'Données projet'!$E$11+1,1))-AVERAGE(OFFSET($H$3,0,0,'Données projet'!$E$11+1,1))</f>
        <v>646.50767193970182</v>
      </c>
      <c r="BJ138" s="59">
        <f t="shared" si="146"/>
        <v>297.06786598620607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73.47076137713529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73.47076137713529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261.47716920000045</v>
      </c>
      <c r="CA138" s="13">
        <f t="shared" si="147"/>
        <v>63.037146839903421</v>
      </c>
      <c r="CB138" s="20">
        <f t="shared" si="118"/>
        <v>565.19576710283252</v>
      </c>
      <c r="CC138" s="59">
        <f t="shared" si="119"/>
        <v>858.52910043616589</v>
      </c>
      <c r="CD138" s="59">
        <f ca="1">AVERAGE(OFFSET($CC$3,0,0,'Données projet'!$E$12+1,1))-AVERAGE(OFFSET($H$3,0,0,'Données projet'!$E$12+1,1))</f>
        <v>442.85175349826028</v>
      </c>
      <c r="CE138" s="59">
        <f t="shared" si="148"/>
        <v>210.70697808232501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59.906928507510315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59.906928507510315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-7.9808160080574461E-14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289.01603252482897</v>
      </c>
      <c r="T139" s="59">
        <f t="shared" si="142"/>
        <v>233.84231920589906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90.870597043080721</v>
      </c>
      <c r="AA139" s="21">
        <f>EXP(-LN(2)/25)*AA138+(1-EXP(-LN(2)/25))/(LN(2)/25)*Calculateur!V139*Calculateur!X139*VLOOKUP('Données projet'!$B$9,Paramètres!$A$1:$I$89,3,0)*0.475*44/12</f>
        <v>28.429631244366504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119.30022828744723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360.07239840000057</v>
      </c>
      <c r="AK139" s="13">
        <f t="shared" si="143"/>
        <v>83.633085567444908</v>
      </c>
      <c r="AL139" s="20">
        <f t="shared" si="112"/>
        <v>772.78705124330099</v>
      </c>
      <c r="AM139" s="59">
        <f t="shared" si="113"/>
        <v>1066.1203845766343</v>
      </c>
      <c r="AN139" s="59">
        <f ca="1">AVERAGE(OFFSET($AM$3,0,0,'Données projet'!$E$10+1,1))-AVERAGE(OFFSET($H$3,0,0,'Données projet'!$E$10+1,1))</f>
        <v>581.88778927327667</v>
      </c>
      <c r="AO139" s="59">
        <f t="shared" si="144"/>
        <v>269.67340993773422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64.272962837501765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64.272962837501765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403.52941200000066</v>
      </c>
      <c r="BF139" s="13">
        <f t="shared" si="145"/>
        <v>92.491833093116057</v>
      </c>
      <c r="BG139" s="20">
        <f t="shared" si="115"/>
        <v>863.90366853717831</v>
      </c>
      <c r="BH139" s="59">
        <f t="shared" si="116"/>
        <v>1157.2370018705117</v>
      </c>
      <c r="BI139" s="59">
        <f ca="1">AVERAGE(OFFSET($BH$3,0,0,'Données projet'!$E$11+1,1))-AVERAGE(OFFSET($H$3,0,0,'Données projet'!$E$11+1,1))</f>
        <v>646.50767193970182</v>
      </c>
      <c r="BJ139" s="59">
        <f t="shared" si="146"/>
        <v>297.06786598620607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72.030044559269214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72.030044559269214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266.95022640000042</v>
      </c>
      <c r="CA139" s="13">
        <f t="shared" si="147"/>
        <v>64.201603067461392</v>
      </c>
      <c r="CB139" s="20">
        <f t="shared" si="118"/>
        <v>576.75610298916263</v>
      </c>
      <c r="CC139" s="59">
        <f t="shared" si="119"/>
        <v>870.08943632249589</v>
      </c>
      <c r="CD139" s="59">
        <f ca="1">AVERAGE(OFFSET($CC$3,0,0,'Données projet'!$E$12+1,1))-AVERAGE(OFFSET($H$3,0,0,'Données projet'!$E$12+1,1))</f>
        <v>442.85175349826028</v>
      </c>
      <c r="CE139" s="59">
        <f t="shared" si="148"/>
        <v>210.70697808232501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58.732190179096442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58.732190179096442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-7.9808160080574461E-14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289.01603252482897</v>
      </c>
      <c r="T140" s="59">
        <f t="shared" si="142"/>
        <v>233.84231920589906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89.088680060657282</v>
      </c>
      <c r="AA140" s="21">
        <f>EXP(-LN(2)/25)*AA139+(1-EXP(-LN(2)/25))/(LN(2)/25)*Calculateur!V140*Calculateur!X140*VLOOKUP('Données projet'!$B$9,Paramètres!$A$1:$I$89,3,0)*0.475*44/12</f>
        <v>27.652221482939972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116.74090154359726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367.45466160000058</v>
      </c>
      <c r="AK140" s="13">
        <f t="shared" si="143"/>
        <v>85.146364255773364</v>
      </c>
      <c r="AL140" s="20">
        <f t="shared" si="112"/>
        <v>788.28012003213962</v>
      </c>
      <c r="AM140" s="59">
        <f t="shared" si="113"/>
        <v>1081.6134533654729</v>
      </c>
      <c r="AN140" s="59">
        <f ca="1">AVERAGE(OFFSET($AM$3,0,0,'Données projet'!$E$10+1,1))-AVERAGE(OFFSET($H$3,0,0,'Données projet'!$E$10+1,1))</f>
        <v>581.88778927327667</v>
      </c>
      <c r="AO140" s="59">
        <f t="shared" si="144"/>
        <v>269.67340993773422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63.012609238894747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63.012609238894747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411.80263800000068</v>
      </c>
      <c r="BF140" s="13">
        <f t="shared" si="145"/>
        <v>94.165404251164176</v>
      </c>
      <c r="BG140" s="20">
        <f t="shared" si="115"/>
        <v>881.22767358744534</v>
      </c>
      <c r="BH140" s="59">
        <f t="shared" si="116"/>
        <v>1174.5610069207787</v>
      </c>
      <c r="BI140" s="59">
        <f ca="1">AVERAGE(OFFSET($BH$3,0,0,'Données projet'!$E$11+1,1))-AVERAGE(OFFSET($H$3,0,0,'Données projet'!$E$11+1,1))</f>
        <v>646.50767193970182</v>
      </c>
      <c r="BJ140" s="59">
        <f t="shared" si="146"/>
        <v>297.06786598620607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70.617579319451011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70.617579319451011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272.42328360000045</v>
      </c>
      <c r="CA140" s="13">
        <f t="shared" si="147"/>
        <v>65.363283484001428</v>
      </c>
      <c r="CB140" s="20">
        <f t="shared" si="118"/>
        <v>588.31160433796992</v>
      </c>
      <c r="CC140" s="59">
        <f t="shared" si="119"/>
        <v>881.6449376713033</v>
      </c>
      <c r="CD140" s="59">
        <f ca="1">AVERAGE(OFFSET($CC$3,0,0,'Données projet'!$E$12+1,1))-AVERAGE(OFFSET($H$3,0,0,'Données projet'!$E$12+1,1))</f>
        <v>442.85175349826028</v>
      </c>
      <c r="CE140" s="59">
        <f t="shared" si="148"/>
        <v>210.70697808232501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57.580487752783135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57.580487752783135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-7.9808160080574461E-14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289.01603252482897</v>
      </c>
      <c r="T141" s="59">
        <f t="shared" si="142"/>
        <v>233.84231920589906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87.341705383397127</v>
      </c>
      <c r="AA141" s="21">
        <f>EXP(-LN(2)/25)*AA140+(1-EXP(-LN(2)/25))/(LN(2)/25)*Calculateur!V141*Calculateur!X141*VLOOKUP('Données projet'!$B$9,Paramètres!$A$1:$I$89,3,0)*0.475*44/12</f>
        <v>26.896070032321852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114.23777541571897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374.83692480000053</v>
      </c>
      <c r="AK141" s="13">
        <f t="shared" si="143"/>
        <v>86.656108013910185</v>
      </c>
      <c r="AL141" s="20">
        <f t="shared" si="112"/>
        <v>803.76703215089447</v>
      </c>
      <c r="AM141" s="59">
        <f t="shared" si="113"/>
        <v>1097.1003654842277</v>
      </c>
      <c r="AN141" s="59">
        <f ca="1">AVERAGE(OFFSET($AM$3,0,0,'Données projet'!$E$10+1,1))-AVERAGE(OFFSET($H$3,0,0,'Données projet'!$E$10+1,1))</f>
        <v>581.88778927327667</v>
      </c>
      <c r="AO141" s="59">
        <f t="shared" si="144"/>
        <v>269.67340993773422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61.776970405616623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61.776970405616623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420.07586400000065</v>
      </c>
      <c r="BF141" s="13">
        <f t="shared" si="145"/>
        <v>95.835066045220003</v>
      </c>
      <c r="BG141" s="20">
        <f t="shared" si="115"/>
        <v>898.54486982875926</v>
      </c>
      <c r="BH141" s="59">
        <f t="shared" si="116"/>
        <v>1191.8782031620926</v>
      </c>
      <c r="BI141" s="59">
        <f ca="1">AVERAGE(OFFSET($BH$3,0,0,'Données projet'!$E$11+1,1))-AVERAGE(OFFSET($H$3,0,0,'Données projet'!$E$11+1,1))</f>
        <v>646.50767193970182</v>
      </c>
      <c r="BJ141" s="59">
        <f t="shared" si="146"/>
        <v>297.06786598620607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69.232811661466911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69.232811661466911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277.89634080000042</v>
      </c>
      <c r="CA141" s="13">
        <f t="shared" si="147"/>
        <v>66.522250283274985</v>
      </c>
      <c r="CB141" s="20">
        <f t="shared" si="118"/>
        <v>599.86237947003792</v>
      </c>
      <c r="CC141" s="59">
        <f t="shared" si="119"/>
        <v>893.19571280337118</v>
      </c>
      <c r="CD141" s="59">
        <f ca="1">AVERAGE(OFFSET($CC$3,0,0,'Données projet'!$E$12+1,1))-AVERAGE(OFFSET($H$3,0,0,'Données projet'!$E$12+1,1))</f>
        <v>442.85175349826028</v>
      </c>
      <c r="CE141" s="59">
        <f t="shared" si="148"/>
        <v>210.70697808232501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56.451369508580711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56.451369508580711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-7.9808160080574461E-14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289.01603252482897</v>
      </c>
      <c r="T142" s="59">
        <f t="shared" si="142"/>
        <v>233.84231920589906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85.62898781400871</v>
      </c>
      <c r="AA142" s="21">
        <f>EXP(-LN(2)/25)*AA141+(1-EXP(-LN(2)/25))/(LN(2)/25)*Calculateur!V142*Calculateur!X142*VLOOKUP('Données projet'!$B$9,Paramètres!$A$1:$I$89,3,0)*0.475*44/12</f>
        <v>26.160595582885161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111.78958339689387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382.21918800000054</v>
      </c>
      <c r="AK142" s="13">
        <f t="shared" si="143"/>
        <v>88.162394485655341</v>
      </c>
      <c r="AL142" s="20">
        <f t="shared" si="112"/>
        <v>819.24792282918395</v>
      </c>
      <c r="AM142" s="59">
        <f t="shared" si="113"/>
        <v>1112.5812561625173</v>
      </c>
      <c r="AN142" s="59">
        <f ca="1">AVERAGE(OFFSET($AM$3,0,0,'Données projet'!$E$10+1,1))-AVERAGE(OFFSET($H$3,0,0,'Données projet'!$E$10+1,1))</f>
        <v>581.88778927327667</v>
      </c>
      <c r="AO142" s="59">
        <f t="shared" si="144"/>
        <v>269.67340993773422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60.565561696193818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60.565561696193818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428.34909000000067</v>
      </c>
      <c r="BF142" s="13">
        <f t="shared" si="145"/>
        <v>97.500904343422292</v>
      </c>
      <c r="BG142" s="20">
        <f t="shared" si="115"/>
        <v>915.85540681479506</v>
      </c>
      <c r="BH142" s="59">
        <f t="shared" si="116"/>
        <v>1209.1887401481283</v>
      </c>
      <c r="BI142" s="59">
        <f ca="1">AVERAGE(OFFSET($BH$3,0,0,'Données projet'!$E$11+1,1))-AVERAGE(OFFSET($H$3,0,0,'Données projet'!$E$11+1,1))</f>
        <v>646.50767193970182</v>
      </c>
      <c r="BJ142" s="59">
        <f t="shared" si="146"/>
        <v>297.06786598620607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67.875198452631011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67.875198452631011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283.36939800000044</v>
      </c>
      <c r="CA142" s="13">
        <f t="shared" si="147"/>
        <v>67.678563069162649</v>
      </c>
      <c r="CB142" s="20">
        <f t="shared" si="118"/>
        <v>611.40853219545909</v>
      </c>
      <c r="CC142" s="59">
        <f t="shared" si="119"/>
        <v>904.74186552879246</v>
      </c>
      <c r="CD142" s="59">
        <f ca="1">AVERAGE(OFFSET($CC$3,0,0,'Données projet'!$E$12+1,1))-AVERAGE(OFFSET($H$3,0,0,'Données projet'!$E$12+1,1))</f>
        <v>442.85175349826028</v>
      </c>
      <c r="CE142" s="59">
        <f t="shared" si="148"/>
        <v>210.70697808232501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55.344392584452976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55.344392584452976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-7.9808160080574461E-14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289.01603252482897</v>
      </c>
      <c r="T143" s="59">
        <f t="shared" si="142"/>
        <v>233.84231920589906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83.949855591501432</v>
      </c>
      <c r="AA143" s="21">
        <f>EXP(-LN(2)/25)*AA142+(1-EXP(-LN(2)/25))/(LN(2)/25)*Calculateur!V143*Calculateur!X143*VLOOKUP('Données projet'!$B$9,Paramètres!$A$1:$I$89,3,0)*0.475*44/12</f>
        <v>25.445232720945235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109.39508831244666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389.60145120000055</v>
      </c>
      <c r="AK143" s="13">
        <f t="shared" si="143"/>
        <v>89.665298143968485</v>
      </c>
      <c r="AL143" s="20">
        <f t="shared" si="112"/>
        <v>834.72292177407928</v>
      </c>
      <c r="AM143" s="59">
        <f t="shared" si="113"/>
        <v>1128.0562551074127</v>
      </c>
      <c r="AN143" s="59">
        <f ca="1">AVERAGE(OFFSET($AM$3,0,0,'Données projet'!$E$10+1,1))-AVERAGE(OFFSET($H$3,0,0,'Données projet'!$E$10+1,1))</f>
        <v>581.88778927327667</v>
      </c>
      <c r="AO143" s="59">
        <f t="shared" si="144"/>
        <v>269.67340993773422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59.377907972676439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59.377907972676439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436.62231600000064</v>
      </c>
      <c r="BF143" s="13">
        <f t="shared" si="145"/>
        <v>99.163001507201159</v>
      </c>
      <c r="BG143" s="20">
        <f t="shared" si="115"/>
        <v>933.15942799170989</v>
      </c>
      <c r="BH143" s="59">
        <f t="shared" si="116"/>
        <v>1226.4927613250431</v>
      </c>
      <c r="BI143" s="59">
        <f ca="1">AVERAGE(OFFSET($BH$3,0,0,'Données projet'!$E$11+1,1))-AVERAGE(OFFSET($H$3,0,0,'Données projet'!$E$11+1,1))</f>
        <v>646.50767193970182</v>
      </c>
      <c r="BJ143" s="59">
        <f t="shared" si="146"/>
        <v>297.06786598620607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66.544207210758088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66.544207210758088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288.84245520000042</v>
      </c>
      <c r="CA143" s="13">
        <f t="shared" si="147"/>
        <v>68.832279011423722</v>
      </c>
      <c r="CB143" s="20">
        <f t="shared" si="118"/>
        <v>622.95016208489699</v>
      </c>
      <c r="CC143" s="59">
        <f t="shared" si="119"/>
        <v>916.28349541823036</v>
      </c>
      <c r="CD143" s="59">
        <f ca="1">AVERAGE(OFFSET($CC$3,0,0,'Données projet'!$E$12+1,1))-AVERAGE(OFFSET($H$3,0,0,'Données projet'!$E$12+1,1))</f>
        <v>442.85175349826028</v>
      </c>
      <c r="CE143" s="59">
        <f t="shared" si="148"/>
        <v>210.70697808232501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54.25912280261813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54.25912280261813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-7.9808160080574461E-14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289.01603252482897</v>
      </c>
      <c r="T144" s="59">
        <f t="shared" si="142"/>
        <v>233.84231920589906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82.303650127707996</v>
      </c>
      <c r="AA144" s="21">
        <f>EXP(-LN(2)/25)*AA143+(1-EXP(-LN(2)/25))/(LN(2)/25)*Calculateur!V144*Calculateur!X144*VLOOKUP('Données projet'!$B$9,Paramètres!$A$1:$I$89,3,0)*0.475*44/12</f>
        <v>24.749431494084355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107.05308162179236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396.98371440000057</v>
      </c>
      <c r="AK144" s="13">
        <f t="shared" si="143"/>
        <v>91.164890478045521</v>
      </c>
      <c r="AL144" s="20">
        <f t="shared" si="112"/>
        <v>850.19215349593026</v>
      </c>
      <c r="AM144" s="59">
        <f t="shared" si="113"/>
        <v>1143.5254868292636</v>
      </c>
      <c r="AN144" s="59">
        <f ca="1">AVERAGE(OFFSET($AM$3,0,0,'Données projet'!$E$10+1,1))-AVERAGE(OFFSET($H$3,0,0,'Données projet'!$E$10+1,1))</f>
        <v>581.88778927327667</v>
      </c>
      <c r="AO144" s="59">
        <f t="shared" si="144"/>
        <v>269.67340993773422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58.213543414279989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58.213543414279989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444.89554200000066</v>
      </c>
      <c r="BF144" s="13">
        <f t="shared" si="145"/>
        <v>100.82143659817152</v>
      </c>
      <c r="BG144" s="20">
        <f t="shared" si="115"/>
        <v>950.45707105848317</v>
      </c>
      <c r="BH144" s="59">
        <f t="shared" si="116"/>
        <v>1243.7904043918165</v>
      </c>
      <c r="BI144" s="59">
        <f ca="1">AVERAGE(OFFSET($BH$3,0,0,'Données projet'!$E$11+1,1))-AVERAGE(OFFSET($H$3,0,0,'Données projet'!$E$11+1,1))</f>
        <v>646.50767193970182</v>
      </c>
      <c r="BJ144" s="59">
        <f t="shared" si="146"/>
        <v>297.06786598620607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65.239315895313794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65.239315895313794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294.31551240000044</v>
      </c>
      <c r="CA144" s="13">
        <f t="shared" si="147"/>
        <v>69.983452989308191</v>
      </c>
      <c r="CB144" s="20">
        <f t="shared" si="118"/>
        <v>634.48736471971256</v>
      </c>
      <c r="CC144" s="59">
        <f t="shared" si="119"/>
        <v>927.82069805304582</v>
      </c>
      <c r="CD144" s="59">
        <f ca="1">AVERAGE(OFFSET($CC$3,0,0,'Données projet'!$E$12+1,1))-AVERAGE(OFFSET($H$3,0,0,'Données projet'!$E$12+1,1))</f>
        <v>442.85175349826028</v>
      </c>
      <c r="CE144" s="59">
        <f t="shared" si="148"/>
        <v>210.70697808232501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53.195134499255857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53.195134499255857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-7.9808160080574461E-14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289.01603252482897</v>
      </c>
      <c r="T145" s="59">
        <f t="shared" si="142"/>
        <v>233.84231920589906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80.689725748973359</v>
      </c>
      <c r="AA145" s="21">
        <f>EXP(-LN(2)/25)*AA144+(1-EXP(-LN(2)/25))/(LN(2)/25)*Calculateur!V145*Calculateur!X145*VLOOKUP('Données projet'!$B$9,Paramètres!$A$1:$I$89,3,0)*0.475*44/12</f>
        <v>24.072656988362581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104.76238273733594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404.36597760000052</v>
      </c>
      <c r="AK145" s="13">
        <f t="shared" si="143"/>
        <v>92.66124016608812</v>
      </c>
      <c r="AL145" s="20">
        <f t="shared" si="112"/>
        <v>865.655737609271</v>
      </c>
      <c r="AM145" s="59">
        <f t="shared" si="113"/>
        <v>1158.9890709426043</v>
      </c>
      <c r="AN145" s="59">
        <f ca="1">AVERAGE(OFFSET($AM$3,0,0,'Données projet'!$E$10+1,1))-AVERAGE(OFFSET($H$3,0,0,'Données projet'!$E$10+1,1))</f>
        <v>581.88778927327667</v>
      </c>
      <c r="AO145" s="59">
        <f t="shared" si="144"/>
        <v>269.67340993773422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57.072011334681441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57.072011334681441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453.16876800000063</v>
      </c>
      <c r="BF145" s="13">
        <f t="shared" si="145"/>
        <v>102.47628556920169</v>
      </c>
      <c r="BG145" s="20">
        <f t="shared" si="115"/>
        <v>967.74846829969408</v>
      </c>
      <c r="BH145" s="59">
        <f t="shared" si="116"/>
        <v>1261.0818016330275</v>
      </c>
      <c r="BI145" s="59">
        <f ca="1">AVERAGE(OFFSET($BH$3,0,0,'Données projet'!$E$11+1,1))-AVERAGE(OFFSET($H$3,0,0,'Données projet'!$E$11+1,1))</f>
        <v>646.50767193970182</v>
      </c>
      <c r="BJ145" s="59">
        <f t="shared" si="146"/>
        <v>297.06786598620607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63.960012702660251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63.960012702660251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299.78856960000041</v>
      </c>
      <c r="CA145" s="13">
        <f t="shared" si="147"/>
        <v>71.132137724183337</v>
      </c>
      <c r="CB145" s="20">
        <f t="shared" si="118"/>
        <v>646.02023192295337</v>
      </c>
      <c r="CC145" s="59">
        <f t="shared" si="119"/>
        <v>939.35356525628663</v>
      </c>
      <c r="CD145" s="59">
        <f ca="1">AVERAGE(OFFSET($CC$3,0,0,'Données projet'!$E$12+1,1))-AVERAGE(OFFSET($H$3,0,0,'Données projet'!$E$12+1,1))</f>
        <v>442.85175349826028</v>
      </c>
      <c r="CE145" s="59">
        <f t="shared" si="148"/>
        <v>210.70697808232501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52.152010357553735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52.152010357553735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-7.9808160080574461E-14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289.01603252482897</v>
      </c>
      <c r="T146" s="59">
        <f t="shared" si="142"/>
        <v>233.84231920589906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79.107449442909029</v>
      </c>
      <c r="AA146" s="21">
        <f>EXP(-LN(2)/25)*AA145+(1-EXP(-LN(2)/25))/(LN(2)/25)*Calculateur!V146*Calculateur!X146*VLOOKUP('Données projet'!$B$9,Paramètres!$A$1:$I$89,3,0)*0.475*44/12</f>
        <v>23.414388917089795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102.52183835999882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411.74824080000053</v>
      </c>
      <c r="AK146" s="13">
        <f t="shared" si="143"/>
        <v>94.15441323509782</v>
      </c>
      <c r="AL146" s="20">
        <f t="shared" si="112"/>
        <v>881.11378911112968</v>
      </c>
      <c r="AM146" s="59">
        <f t="shared" si="113"/>
        <v>1174.447122444463</v>
      </c>
      <c r="AN146" s="59">
        <f ca="1">AVERAGE(OFFSET($AM$3,0,0,'Données projet'!$E$10+1,1))-AVERAGE(OFFSET($H$3,0,0,'Données projet'!$E$10+1,1))</f>
        <v>581.88778927327667</v>
      </c>
      <c r="AO146" s="59">
        <f t="shared" si="144"/>
        <v>269.67340993773422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55.952864002898004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55.952864002898004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461.44199400000065</v>
      </c>
      <c r="BF146" s="13">
        <f t="shared" si="145"/>
        <v>104.12762144113498</v>
      </c>
      <c r="BG146" s="20">
        <f t="shared" si="115"/>
        <v>985.03374689331122</v>
      </c>
      <c r="BH146" s="59">
        <f t="shared" si="116"/>
        <v>1278.3670802266445</v>
      </c>
      <c r="BI146" s="59">
        <f ca="1">AVERAGE(OFFSET($BH$3,0,0,'Données projet'!$E$11+1,1))-AVERAGE(OFFSET($H$3,0,0,'Données projet'!$E$11+1,1))</f>
        <v>646.50767193970182</v>
      </c>
      <c r="BJ146" s="59">
        <f t="shared" si="146"/>
        <v>297.06786598620607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62.705795865316738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62.705795865316738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305.26162680000044</v>
      </c>
      <c r="CA146" s="13">
        <f t="shared" si="147"/>
        <v>72.278383902201966</v>
      </c>
      <c r="CB146" s="20">
        <f t="shared" si="118"/>
        <v>657.54885197300246</v>
      </c>
      <c r="CC146" s="59">
        <f t="shared" si="119"/>
        <v>950.88218530633571</v>
      </c>
      <c r="CD146" s="59">
        <f ca="1">AVERAGE(OFFSET($CC$3,0,0,'Données projet'!$E$12+1,1))-AVERAGE(OFFSET($H$3,0,0,'Données projet'!$E$12+1,1))</f>
        <v>442.85175349826028</v>
      </c>
      <c r="CE146" s="59">
        <f t="shared" si="148"/>
        <v>210.70697808232501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51.129341244027486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51.129341244027486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-7.9808160080574461E-14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289.01603252482897</v>
      </c>
      <c r="T147" s="59">
        <f t="shared" si="142"/>
        <v>233.84231920589906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77.556200610113379</v>
      </c>
      <c r="AA147" s="21">
        <f>EXP(-LN(2)/25)*AA146+(1-EXP(-LN(2)/25))/(LN(2)/25)*Calculateur!V147*Calculateur!X147*VLOOKUP('Données projet'!$B$9,Paramètres!$A$1:$I$89,3,0)*0.475*44/12</f>
        <v>22.774121220842776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100.33032183095615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419.13050400000049</v>
      </c>
      <c r="AK147" s="13">
        <f t="shared" si="143"/>
        <v>95.644473208887277</v>
      </c>
      <c r="AL147" s="20">
        <f t="shared" si="112"/>
        <v>896.56641863881293</v>
      </c>
      <c r="AM147" s="59">
        <f t="shared" si="113"/>
        <v>1189.8997519721463</v>
      </c>
      <c r="AN147" s="59">
        <f ca="1">AVERAGE(OFFSET($AM$3,0,0,'Données projet'!$E$10+1,1))-AVERAGE(OFFSET($H$3,0,0,'Données projet'!$E$10+1,1))</f>
        <v>581.88778927327667</v>
      </c>
      <c r="AO147" s="59">
        <f t="shared" si="144"/>
        <v>269.67340993773422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69.309560312196439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69.309560312196439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469.71522000000061</v>
      </c>
      <c r="BF147" s="13">
        <f t="shared" si="145"/>
        <v>105.77551446647743</v>
      </c>
      <c r="BG147" s="20">
        <f t="shared" si="115"/>
        <v>1002.3130291957826</v>
      </c>
      <c r="BH147" s="59">
        <f t="shared" si="116"/>
        <v>1295.646362529116</v>
      </c>
      <c r="BI147" s="59">
        <f ca="1">AVERAGE(OFFSET($BH$3,0,0,'Données projet'!$E$11+1,1))-AVERAGE(OFFSET($H$3,0,0,'Données projet'!$E$11+1,1))</f>
        <v>646.50767193970182</v>
      </c>
      <c r="BJ147" s="59">
        <f t="shared" si="146"/>
        <v>297.06786598620607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77.674507246427055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77.674507246427055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310.73468400000041</v>
      </c>
      <c r="CA147" s="13">
        <f t="shared" si="147"/>
        <v>73.422240287923742</v>
      </c>
      <c r="CB147" s="20">
        <f t="shared" si="118"/>
        <v>669.07330980146787</v>
      </c>
      <c r="CC147" s="59">
        <f t="shared" si="119"/>
        <v>962.40664313480124</v>
      </c>
      <c r="CD147" s="59">
        <f ca="1">AVERAGE(OFFSET($CC$3,0,0,'Données projet'!$E$12+1,1))-AVERAGE(OFFSET($H$3,0,0,'Données projet'!$E$12+1,1))</f>
        <v>442.85175349826028</v>
      </c>
      <c r="CE147" s="59">
        <f t="shared" si="148"/>
        <v>210.70697808232501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0.318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63.334598216317438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63.334598216317438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-7.9808160080574461E-14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289.01603252482897</v>
      </c>
      <c r="T148" s="59">
        <f t="shared" si="142"/>
        <v>233.84231920589906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76.035370820760491</v>
      </c>
      <c r="AA148" s="21">
        <f>EXP(-LN(2)/25)*AA147+(1-EXP(-LN(2)/25))/(LN(2)/25)*Calculateur!V148*Calculateur!X148*VLOOKUP('Données projet'!$B$9,Paramètres!$A$1:$I$89,3,0)*0.475*44/12</f>
        <v>22.151361678419846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98.186732499180337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375.98511600000052</v>
      </c>
      <c r="AK148" s="13">
        <f t="shared" si="143"/>
        <v>86.890611547517153</v>
      </c>
      <c r="AL148" s="20">
        <f t="shared" si="112"/>
        <v>806.17522547859323</v>
      </c>
      <c r="AM148" s="59">
        <f t="shared" si="113"/>
        <v>1099.5085588119266</v>
      </c>
      <c r="AN148" s="59">
        <f ca="1">AVERAGE(OFFSET($AM$3,0,0,'Données projet'!$E$10+1,1))-AVERAGE(OFFSET($H$3,0,0,'Données projet'!$E$10+1,1))</f>
        <v>581.88778927327667</v>
      </c>
      <c r="AO148" s="59">
        <f t="shared" si="144"/>
        <v>269.67340993773422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67.950442109131785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67.950442109131785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421.36263000000059</v>
      </c>
      <c r="BF148" s="13">
        <f t="shared" si="145"/>
        <v>96.094409121503247</v>
      </c>
      <c r="BG148" s="20">
        <f t="shared" si="115"/>
        <v>901.23767646995248</v>
      </c>
      <c r="BH148" s="59">
        <f t="shared" si="116"/>
        <v>1194.5710098032857</v>
      </c>
      <c r="BI148" s="59">
        <f ca="1">AVERAGE(OFFSET($BH$3,0,0,'Données projet'!$E$11+1,1))-AVERAGE(OFFSET($H$3,0,0,'Données projet'!$E$11+1,1))</f>
        <v>646.50767193970182</v>
      </c>
      <c r="BJ148" s="59">
        <f t="shared" si="146"/>
        <v>297.06786598620607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76.151357536095972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76.151357536095972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278.74758600000041</v>
      </c>
      <c r="CA148" s="13">
        <f t="shared" si="147"/>
        <v>66.702268785287671</v>
      </c>
      <c r="CB148" s="20">
        <f t="shared" si="118"/>
        <v>601.65849708437679</v>
      </c>
      <c r="CC148" s="59">
        <f t="shared" si="119"/>
        <v>894.99183041771016</v>
      </c>
      <c r="CD148" s="59">
        <f ca="1">AVERAGE(OFFSET($CC$3,0,0,'Données projet'!$E$12+1,1))-AVERAGE(OFFSET($H$3,0,0,'Données projet'!$E$12+1,1))</f>
        <v>442.85175349826028</v>
      </c>
      <c r="CE148" s="59">
        <f t="shared" si="148"/>
        <v>210.70697808232501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62.092645375585938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62.092645375585938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-7.9808160080574461E-14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289.01603252482897</v>
      </c>
      <c r="T149" s="59">
        <f t="shared" si="142"/>
        <v>233.84231920589906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74.544363575962237</v>
      </c>
      <c r="AA149" s="21">
        <f>EXP(-LN(2)/25)*AA148+(1-EXP(-LN(2)/25))/(LN(2)/25)*Calculateur!V149*Calculateur!X149*VLOOKUP('Données projet'!$B$9,Paramètres!$A$1:$I$89,3,0)*0.475*44/12</f>
        <v>21.545631528433972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96.089995104396209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383.51757600000053</v>
      </c>
      <c r="AK149" s="13">
        <f t="shared" si="143"/>
        <v>88.426967368766455</v>
      </c>
      <c r="AL149" s="20">
        <f t="shared" si="112"/>
        <v>821.97007970060247</v>
      </c>
      <c r="AM149" s="59">
        <f t="shared" si="113"/>
        <v>1115.3034130339358</v>
      </c>
      <c r="AN149" s="59">
        <f ca="1">AVERAGE(OFFSET($AM$3,0,0,'Données projet'!$E$10+1,1))-AVERAGE(OFFSET($H$3,0,0,'Données projet'!$E$10+1,1))</f>
        <v>581.88778927327667</v>
      </c>
      <c r="AO149" s="59">
        <f t="shared" si="144"/>
        <v>269.67340993773422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66.617975385048979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66.617975385048979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429.8041800000006</v>
      </c>
      <c r="BF149" s="13">
        <f t="shared" si="145"/>
        <v>97.793501833753268</v>
      </c>
      <c r="BG149" s="20">
        <f t="shared" si="115"/>
        <v>918.89929586045457</v>
      </c>
      <c r="BH149" s="59">
        <f t="shared" si="116"/>
        <v>1212.2326291937879</v>
      </c>
      <c r="BI149" s="59">
        <f ca="1">AVERAGE(OFFSET($BH$3,0,0,'Données projet'!$E$11+1,1))-AVERAGE(OFFSET($H$3,0,0,'Données projet'!$E$11+1,1))</f>
        <v>646.50767193970182</v>
      </c>
      <c r="BJ149" s="59">
        <f t="shared" si="146"/>
        <v>297.06786598620607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74.658075862554895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74.658075862554895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284.3319960000004</v>
      </c>
      <c r="CA149" s="13">
        <f t="shared" si="147"/>
        <v>67.88166454639088</v>
      </c>
      <c r="CB149" s="20">
        <f t="shared" si="118"/>
        <v>613.43879211829812</v>
      </c>
      <c r="CC149" s="59">
        <f t="shared" si="119"/>
        <v>906.77212545163138</v>
      </c>
      <c r="CD149" s="59">
        <f ca="1">AVERAGE(OFFSET($CC$3,0,0,'Données projet'!$E$12+1,1))-AVERAGE(OFFSET($H$3,0,0,'Données projet'!$E$12+1,1))</f>
        <v>442.85175349826028</v>
      </c>
      <c r="CE149" s="59">
        <f t="shared" si="148"/>
        <v>210.70697808232501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60.875046472544753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60.875046472544753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-7.9808160080574461E-14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289.01603252482897</v>
      </c>
      <c r="T150" s="59">
        <f t="shared" si="142"/>
        <v>233.84231920589906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73.082594073809844</v>
      </c>
      <c r="AA150" s="21">
        <f>EXP(-LN(2)/25)*AA149+(1-EXP(-LN(2)/25))/(LN(2)/25)*Calculateur!V150*Calculateur!X150*VLOOKUP('Données projet'!$B$9,Paramètres!$A$1:$I$89,3,0)*0.475*44/12</f>
        <v>20.956465101253425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94.039059175063272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391.05003600000049</v>
      </c>
      <c r="AK150" s="13">
        <f t="shared" si="143"/>
        <v>89.959814624965674</v>
      </c>
      <c r="AL150" s="20">
        <f t="shared" si="112"/>
        <v>837.75882317181595</v>
      </c>
      <c r="AM150" s="59">
        <f t="shared" si="113"/>
        <v>1131.0921565051492</v>
      </c>
      <c r="AN150" s="59">
        <f ca="1">AVERAGE(OFFSET($AM$3,0,0,'Données projet'!$E$10+1,1))-AVERAGE(OFFSET($H$3,0,0,'Données projet'!$E$10+1,1))</f>
        <v>581.88778927327667</v>
      </c>
      <c r="AO150" s="59">
        <f t="shared" si="144"/>
        <v>269.67340993773422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65.311637520700984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65.311637520700984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438.24573000000061</v>
      </c>
      <c r="BF150" s="13">
        <f t="shared" si="145"/>
        <v>99.488714339852734</v>
      </c>
      <c r="BG150" s="20">
        <f t="shared" si="115"/>
        <v>936.55415722524458</v>
      </c>
      <c r="BH150" s="59">
        <f t="shared" si="116"/>
        <v>1229.8874905585778</v>
      </c>
      <c r="BI150" s="59">
        <f ca="1">AVERAGE(OFFSET($BH$3,0,0,'Données projet'!$E$11+1,1))-AVERAGE(OFFSET($H$3,0,0,'Données projet'!$E$11+1,1))</f>
        <v>646.50767193970182</v>
      </c>
      <c r="BJ150" s="59">
        <f t="shared" si="146"/>
        <v>297.06786598620607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73.194076531820073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73.194076531820073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289.91640600000039</v>
      </c>
      <c r="CA150" s="13">
        <f t="shared" si="147"/>
        <v>69.058366929638382</v>
      </c>
      <c r="CB150" s="20">
        <f t="shared" si="118"/>
        <v>625.21439618578745</v>
      </c>
      <c r="CC150" s="59">
        <f t="shared" si="119"/>
        <v>918.54772951912082</v>
      </c>
      <c r="CD150" s="59">
        <f ca="1">AVERAGE(OFFSET($CC$3,0,0,'Données projet'!$E$12+1,1))-AVERAGE(OFFSET($H$3,0,0,'Données projet'!$E$12+1,1))</f>
        <v>442.85175349826028</v>
      </c>
      <c r="CE150" s="59">
        <f t="shared" si="148"/>
        <v>210.70697808232501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59.681323941330206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59.681323941330206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-7.9808160080574461E-14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289.01603252482897</v>
      </c>
      <c r="T151" s="59">
        <f t="shared" si="142"/>
        <v>233.84231920589906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71.649488980003312</v>
      </c>
      <c r="AA151" s="21">
        <f>EXP(-LN(2)/25)*AA150+(1-EXP(-LN(2)/25))/(LN(2)/25)*Calculateur!V151*Calculateur!X151*VLOOKUP('Données projet'!$B$9,Paramètres!$A$1:$I$89,3,0)*0.475*44/12</f>
        <v>20.383409461007048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92.03289844101036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398.5824960000005</v>
      </c>
      <c r="AK151" s="13">
        <f t="shared" si="143"/>
        <v>91.489228690064536</v>
      </c>
      <c r="AL151" s="20">
        <f t="shared" si="112"/>
        <v>853.54158716852999</v>
      </c>
      <c r="AM151" s="59">
        <f t="shared" si="113"/>
        <v>1146.8749205018632</v>
      </c>
      <c r="AN151" s="59">
        <f ca="1">AVERAGE(OFFSET($AM$3,0,0,'Données projet'!$E$10+1,1))-AVERAGE(OFFSET($H$3,0,0,'Données projet'!$E$10+1,1))</f>
        <v>581.88778927327667</v>
      </c>
      <c r="AO151" s="59">
        <f t="shared" si="144"/>
        <v>269.67340993773422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64.030916145085428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64.030916145085428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446.68728000000056</v>
      </c>
      <c r="BF151" s="13">
        <f t="shared" si="145"/>
        <v>101.18012999765861</v>
      </c>
      <c r="BG151" s="20">
        <f t="shared" si="115"/>
        <v>954.20240574592299</v>
      </c>
      <c r="BH151" s="59">
        <f t="shared" si="116"/>
        <v>1247.5357390792562</v>
      </c>
      <c r="BI151" s="59">
        <f ca="1">AVERAGE(OFFSET($BH$3,0,0,'Données projet'!$E$11+1,1))-AVERAGE(OFFSET($H$3,0,0,'Données projet'!$E$11+1,1))</f>
        <v>646.50767193970182</v>
      </c>
      <c r="BJ151" s="59">
        <f t="shared" si="146"/>
        <v>297.06786598620607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71.758785335009534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71.758785335009534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295.50081600000033</v>
      </c>
      <c r="CA151" s="13">
        <f t="shared" si="147"/>
        <v>70.232433796441768</v>
      </c>
      <c r="CB151" s="20">
        <f t="shared" si="118"/>
        <v>636.98541006213668</v>
      </c>
      <c r="CC151" s="59">
        <f t="shared" si="119"/>
        <v>930.31874339546994</v>
      </c>
      <c r="CD151" s="59">
        <f ca="1">AVERAGE(OFFSET($CC$3,0,0,'Données projet'!$E$12+1,1))-AVERAGE(OFFSET($H$3,0,0,'Données projet'!$E$12+1,1))</f>
        <v>442.85175349826028</v>
      </c>
      <c r="CE151" s="59">
        <f t="shared" si="148"/>
        <v>210.70697808232501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58.511009580853923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58.511009580853923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-7.9808160080574461E-14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289.01603252482897</v>
      </c>
      <c r="T152" s="59">
        <f t="shared" si="142"/>
        <v>233.84231920589906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70.244486202978521</v>
      </c>
      <c r="AA152" s="21">
        <f>EXP(-LN(2)/25)*AA151+(1-EXP(-LN(2)/25))/(LN(2)/25)*Calculateur!V152*Calculateur!X152*VLOOKUP('Données projet'!$B$9,Paramètres!$A$1:$I$89,3,0)*0.475*44/12</f>
        <v>19.826024057378895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90.070510260357423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406.11495600000046</v>
      </c>
      <c r="AK152" s="13">
        <f t="shared" si="143"/>
        <v>93.015281926133852</v>
      </c>
      <c r="AL152" s="20">
        <f t="shared" si="112"/>
        <v>869.31849772135058</v>
      </c>
      <c r="AM152" s="59">
        <f t="shared" si="113"/>
        <v>1162.651831054684</v>
      </c>
      <c r="AN152" s="59">
        <f ca="1">AVERAGE(OFFSET($AM$3,0,0,'Données projet'!$E$10+1,1))-AVERAGE(OFFSET($H$3,0,0,'Données projet'!$E$10+1,1))</f>
        <v>581.88778927327667</v>
      </c>
      <c r="AO152" s="59">
        <f t="shared" si="144"/>
        <v>269.67340993773422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62.775308934482787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62.775308934482787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455.12883000000056</v>
      </c>
      <c r="BF152" s="13">
        <f t="shared" si="145"/>
        <v>102.86782883411858</v>
      </c>
      <c r="BG152" s="20">
        <f t="shared" si="115"/>
        <v>971.84418080275736</v>
      </c>
      <c r="BH152" s="59">
        <f t="shared" si="116"/>
        <v>1265.1775141360906</v>
      </c>
      <c r="BI152" s="59">
        <f ca="1">AVERAGE(OFFSET($BH$3,0,0,'Données projet'!$E$11+1,1))-AVERAGE(OFFSET($H$3,0,0,'Données projet'!$E$11+1,1))</f>
        <v>646.50767193970182</v>
      </c>
      <c r="BJ152" s="59">
        <f t="shared" si="146"/>
        <v>297.06786598620607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70.351639323127273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70.351639323127273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301.08522600000038</v>
      </c>
      <c r="CA152" s="13">
        <f t="shared" si="147"/>
        <v>71.403920696120153</v>
      </c>
      <c r="CB152" s="20">
        <f t="shared" si="118"/>
        <v>648.7519304957433</v>
      </c>
      <c r="CC152" s="59">
        <f t="shared" si="119"/>
        <v>942.08526382907667</v>
      </c>
      <c r="CD152" s="59">
        <f ca="1">AVERAGE(OFFSET($CC$3,0,0,'Données projet'!$E$12+1,1))-AVERAGE(OFFSET($H$3,0,0,'Données projet'!$E$12+1,1))</f>
        <v>442.85175349826028</v>
      </c>
      <c r="CE152" s="59">
        <f t="shared" si="148"/>
        <v>210.70697808232501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57.363644371165307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57.363644371165307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-7.9808160080574461E-14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289.01603252482897</v>
      </c>
      <c r="T153" s="59">
        <f t="shared" si="142"/>
        <v>233.84231920589906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68.86703467344411</v>
      </c>
      <c r="AA153" s="21">
        <f>EXP(-LN(2)/25)*AA152+(1-EXP(-LN(2)/25))/(LN(2)/25)*Calculateur!V153*Calculateur!X153*VLOOKUP('Données projet'!$B$9,Paramètres!$A$1:$I$89,3,0)*0.475*44/12</f>
        <v>19.283880386924576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88.150915060368689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413.64741600000042</v>
      </c>
      <c r="AK153" s="13">
        <f t="shared" si="143"/>
        <v>94.538043857309361</v>
      </c>
      <c r="AL153" s="20">
        <f t="shared" si="112"/>
        <v>885.0896759181478</v>
      </c>
      <c r="AM153" s="59">
        <f t="shared" si="113"/>
        <v>1178.4230092514811</v>
      </c>
      <c r="AN153" s="59">
        <f ca="1">AVERAGE(OFFSET($AM$3,0,0,'Données projet'!$E$10+1,1))-AVERAGE(OFFSET($H$3,0,0,'Données projet'!$E$10+1,1))</f>
        <v>581.88778927327667</v>
      </c>
      <c r="AO153" s="59">
        <f t="shared" si="144"/>
        <v>269.67340993773422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61.544323415435287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61.544323415435287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463.57038000000057</v>
      </c>
      <c r="BF153" s="13">
        <f t="shared" si="145"/>
        <v>104.55188773764013</v>
      </c>
      <c r="BG153" s="20">
        <f t="shared" si="115"/>
        <v>989.47961630972395</v>
      </c>
      <c r="BH153" s="59">
        <f t="shared" si="116"/>
        <v>1282.8129496430572</v>
      </c>
      <c r="BI153" s="59">
        <f ca="1">AVERAGE(OFFSET($BH$3,0,0,'Données projet'!$E$11+1,1))-AVERAGE(OFFSET($H$3,0,0,'Données projet'!$E$11+1,1))</f>
        <v>646.50767193970182</v>
      </c>
      <c r="BJ153" s="59">
        <f t="shared" si="146"/>
        <v>297.06786598620607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68.9720865862637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68.9720865862637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306.66963600000037</v>
      </c>
      <c r="CA153" s="13">
        <f t="shared" si="147"/>
        <v>72.572880999428946</v>
      </c>
      <c r="CB153" s="20">
        <f t="shared" si="118"/>
        <v>660.51405044067269</v>
      </c>
      <c r="CC153" s="59">
        <f t="shared" si="119"/>
        <v>953.84738377400595</v>
      </c>
      <c r="CD153" s="59">
        <f ca="1">AVERAGE(OFFSET($CC$3,0,0,'Données projet'!$E$12+1,1))-AVERAGE(OFFSET($H$3,0,0,'Données projet'!$E$12+1,1))</f>
        <v>442.85175349826028</v>
      </c>
      <c r="CE153" s="59">
        <f t="shared" si="148"/>
        <v>210.70697808232501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56.23877829341501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56.23877829341501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-7.9808160080574461E-14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289.01603252482897</v>
      </c>
      <c r="T154" s="59">
        <f t="shared" si="142"/>
        <v>233.84231920589906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67.516594128241394</v>
      </c>
      <c r="AA154" s="21">
        <f>EXP(-LN(2)/25)*AA153+(1-EXP(-LN(2)/25))/(LN(2)/25)*Calculateur!V154*Calculateur!X154*VLOOKUP('Données projet'!$B$9,Paramètres!$A$1:$I$89,3,0)*0.475*44/12</f>
        <v>18.756561663648927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86.273155791890318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421.17987600000043</v>
      </c>
      <c r="AK154" s="13">
        <f t="shared" ref="AK154:AK203" si="164">EXP(-1.0587+0.8836*LN(AJ154)+0.284)</f>
        <v>96.057581330707137</v>
      </c>
      <c r="AL154" s="20">
        <f t="shared" ref="AL154:AL203" si="165">(AJ154+AK154)*0.475*44/12</f>
        <v>900.85523818431557</v>
      </c>
      <c r="AM154" s="59">
        <f t="shared" si="113"/>
        <v>1194.1885715176488</v>
      </c>
      <c r="AN154" s="59">
        <f ca="1">AVERAGE(OFFSET($AM$3,0,0,'Données projet'!$E$10+1,1))-AVERAGE(OFFSET($H$3,0,0,'Données projet'!$E$10+1,1))</f>
        <v>581.88778927327667</v>
      </c>
      <c r="AO154" s="59">
        <f t="shared" si="144"/>
        <v>269.67340993773422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60.33747677158928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60.33747677158928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472.01193000000058</v>
      </c>
      <c r="BF154" s="13">
        <f t="shared" ref="BF154:BF203" si="167">EXP(-1.0587+0.8836*LN(BE154)+0.284)</f>
        <v>106.23238063605056</v>
      </c>
      <c r="BG154" s="20">
        <f t="shared" ref="BG154:BG203" si="168">(BE154+BF154)*0.475*44/12</f>
        <v>1007.108841024456</v>
      </c>
      <c r="BH154" s="59">
        <f t="shared" si="116"/>
        <v>1300.4421743577893</v>
      </c>
      <c r="BI154" s="59">
        <f ca="1">AVERAGE(OFFSET($BH$3,0,0,'Données projet'!$E$11+1,1))-AVERAGE(OFFSET($H$3,0,0,'Données projet'!$E$11+1,1))</f>
        <v>646.50767193970182</v>
      </c>
      <c r="BJ154" s="59">
        <f t="shared" si="146"/>
        <v>297.06786598620607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67.619586037125941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67.619586037125941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312.25404600000036</v>
      </c>
      <c r="CA154" s="13">
        <f t="shared" ref="CA154:CA203" si="170">EXP(-1.0587+0.8836*LN(BZ154)+0.284)</f>
        <v>73.739366022088362</v>
      </c>
      <c r="CB154" s="20">
        <f t="shared" ref="CB154:CB203" si="171">(BZ154+CA154)*0.475*44/12</f>
        <v>672.27185927180437</v>
      </c>
      <c r="CC154" s="59">
        <f t="shared" si="119"/>
        <v>965.60519260513774</v>
      </c>
      <c r="CD154" s="59">
        <f ca="1">AVERAGE(OFFSET($CC$3,0,0,'Données projet'!$E$12+1,1))-AVERAGE(OFFSET($H$3,0,0,'Données projet'!$E$12+1,1))</f>
        <v>442.85175349826028</v>
      </c>
      <c r="CE154" s="59">
        <f t="shared" si="148"/>
        <v>210.70697808232501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55.135970153348829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55.135970153348829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-7.9808160080574461E-14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289.01603252482897</v>
      </c>
      <c r="T155" s="59">
        <f t="shared" si="142"/>
        <v>233.84231920589906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66.192634898442705</v>
      </c>
      <c r="AA155" s="21">
        <f>EXP(-LN(2)/25)*AA154+(1-EXP(-LN(2)/25))/(LN(2)/25)*Calculateur!V155*Calculateur!X155*VLOOKUP('Données projet'!$B$9,Paramètres!$A$1:$I$89,3,0)*0.475*44/12</f>
        <v>18.243662498591739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84.436297397034451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428.71233600000051</v>
      </c>
      <c r="AK155" s="13">
        <f t="shared" si="164"/>
        <v>97.57395866550209</v>
      </c>
      <c r="AL155" s="20">
        <f t="shared" si="165"/>
        <v>916.61529654241701</v>
      </c>
      <c r="AM155" s="59">
        <f t="shared" si="113"/>
        <v>1209.9486298757504</v>
      </c>
      <c r="AN155" s="59">
        <f ca="1">AVERAGE(OFFSET($AM$3,0,0,'Données projet'!$E$10+1,1))-AVERAGE(OFFSET($H$3,0,0,'Données projet'!$E$10+1,1))</f>
        <v>581.88778927327667</v>
      </c>
      <c r="AO155" s="59">
        <f t="shared" si="144"/>
        <v>269.67340993773422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59.154295654325324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59.154295654325324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480.45348000000058</v>
      </c>
      <c r="BF155" s="13">
        <f t="shared" si="167"/>
        <v>107.90937866146631</v>
      </c>
      <c r="BG155" s="20">
        <f t="shared" si="168"/>
        <v>1024.7319788353882</v>
      </c>
      <c r="BH155" s="59">
        <f t="shared" si="116"/>
        <v>1318.0653121687214</v>
      </c>
      <c r="BI155" s="59">
        <f ca="1">AVERAGE(OFFSET($BH$3,0,0,'Données projet'!$E$11+1,1))-AVERAGE(OFFSET($H$3,0,0,'Données projet'!$E$11+1,1))</f>
        <v>646.50767193970182</v>
      </c>
      <c r="BJ155" s="59">
        <f t="shared" si="146"/>
        <v>297.06786598620607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66.293607198812893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66.293607198812893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317.83845600000035</v>
      </c>
      <c r="CA155" s="13">
        <f t="shared" si="170"/>
        <v>74.90342513922424</v>
      </c>
      <c r="CB155" s="20">
        <f t="shared" si="171"/>
        <v>684.02544298414944</v>
      </c>
      <c r="CC155" s="59">
        <f t="shared" si="119"/>
        <v>977.35877631748281</v>
      </c>
      <c r="CD155" s="59">
        <f ca="1">AVERAGE(OFFSET($CC$3,0,0,'Données projet'!$E$12+1,1))-AVERAGE(OFFSET($H$3,0,0,'Données projet'!$E$12+1,1))</f>
        <v>442.85175349826028</v>
      </c>
      <c r="CE155" s="59">
        <f t="shared" si="148"/>
        <v>210.70697808232501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54.054787408262804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54.054787408262804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-7.9808160080574461E-14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289.01603252482897</v>
      </c>
      <c r="T156" s="59">
        <f t="shared" si="142"/>
        <v>233.84231920589906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64.894637701604978</v>
      </c>
      <c r="AA156" s="21">
        <f>EXP(-LN(2)/25)*AA155+(1-EXP(-LN(2)/25))/(LN(2)/25)*Calculateur!V156*Calculateur!X156*VLOOKUP('Données projet'!$B$9,Paramètres!$A$1:$I$89,3,0)*0.475*44/12</f>
        <v>17.744788588175233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82.639426289780204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436.24479600000041</v>
      </c>
      <c r="AK156" s="13">
        <f t="shared" si="164"/>
        <v>99.087237791231857</v>
      </c>
      <c r="AL156" s="20">
        <f t="shared" si="165"/>
        <v>932.36995885306271</v>
      </c>
      <c r="AM156" s="59">
        <f t="shared" si="113"/>
        <v>1225.7032921863961</v>
      </c>
      <c r="AN156" s="59">
        <f ca="1">AVERAGE(OFFSET($AM$3,0,0,'Données projet'!$E$10+1,1))-AVERAGE(OFFSET($H$3,0,0,'Données projet'!$E$10+1,1))</f>
        <v>581.88778927327667</v>
      </c>
      <c r="AO156" s="59">
        <f t="shared" si="144"/>
        <v>269.67340993773422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57.994315997101694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57.994315997101694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488.89503000000053</v>
      </c>
      <c r="BF156" s="13">
        <f t="shared" si="167"/>
        <v>109.582950303247</v>
      </c>
      <c r="BG156" s="20">
        <f t="shared" si="168"/>
        <v>1042.349149028156</v>
      </c>
      <c r="BH156" s="59">
        <f t="shared" si="116"/>
        <v>1335.6824823614893</v>
      </c>
      <c r="BI156" s="59">
        <f ca="1">AVERAGE(OFFSET($BH$3,0,0,'Données projet'!$E$11+1,1))-AVERAGE(OFFSET($H$3,0,0,'Données projet'!$E$11+1,1))</f>
        <v>646.50767193970182</v>
      </c>
      <c r="BJ156" s="59">
        <f t="shared" si="146"/>
        <v>297.06786598620607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64.993629996751935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64.993629996751935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323.42286600000034</v>
      </c>
      <c r="CA156" s="13">
        <f t="shared" si="170"/>
        <v>76.065105891538806</v>
      </c>
      <c r="CB156" s="20">
        <f t="shared" si="171"/>
        <v>695.7748843777639</v>
      </c>
      <c r="CC156" s="59">
        <f t="shared" si="119"/>
        <v>989.10821771109727</v>
      </c>
      <c r="CD156" s="59">
        <f ca="1">AVERAGE(OFFSET($CC$3,0,0,'Données projet'!$E$12+1,1))-AVERAGE(OFFSET($H$3,0,0,'Données projet'!$E$12+1,1))</f>
        <v>442.85175349826028</v>
      </c>
      <c r="CE156" s="59">
        <f t="shared" si="148"/>
        <v>210.70697808232501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52.994805997351556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52.994805997351556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-7.9808160080574461E-14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289.01603252482897</v>
      </c>
      <c r="T157" s="59">
        <f t="shared" si="142"/>
        <v>233.84231920589906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63.622093438097124</v>
      </c>
      <c r="AA157" s="21">
        <f>EXP(-LN(2)/25)*AA156+(1-EXP(-LN(2)/25))/(LN(2)/25)*Calculateur!V157*Calculateur!X157*VLOOKUP('Données projet'!$B$9,Paramètres!$A$1:$I$89,3,0)*0.475*44/12</f>
        <v>17.259556411073707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80.881649849170827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443.77725600000048</v>
      </c>
      <c r="AK157" s="13">
        <f t="shared" si="164"/>
        <v>100.59747837627934</v>
      </c>
      <c r="AL157" s="20">
        <f t="shared" si="165"/>
        <v>948.11932903868717</v>
      </c>
      <c r="AM157" s="59">
        <f t="shared" si="113"/>
        <v>1241.4526623720205</v>
      </c>
      <c r="AN157" s="59">
        <f ca="1">AVERAGE(OFFSET($AM$3,0,0,'Données projet'!$E$10+1,1))-AVERAGE(OFFSET($H$3,0,0,'Données projet'!$E$10+1,1))</f>
        <v>581.88778927327667</v>
      </c>
      <c r="AO157" s="59">
        <f t="shared" si="144"/>
        <v>269.67340993773422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71.083888549708462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71.083888549708462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497.33658000000054</v>
      </c>
      <c r="BF157" s="13">
        <f t="shared" si="167"/>
        <v>111.2531615500869</v>
      </c>
      <c r="BG157" s="20">
        <f t="shared" si="168"/>
        <v>1059.9604665330687</v>
      </c>
      <c r="BH157" s="59">
        <f t="shared" si="116"/>
        <v>1353.293799866402</v>
      </c>
      <c r="BI157" s="59">
        <f ca="1">AVERAGE(OFFSET($BH$3,0,0,'Données projet'!$E$11+1,1))-AVERAGE(OFFSET($H$3,0,0,'Données projet'!$E$11+1,1))</f>
        <v>646.50767193970182</v>
      </c>
      <c r="BJ157" s="59">
        <f t="shared" si="146"/>
        <v>297.06786598620607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79.662978547087107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79.662978547087107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329.00727600000033</v>
      </c>
      <c r="CA157" s="13">
        <f t="shared" si="170"/>
        <v>77.224454083940515</v>
      </c>
      <c r="CB157" s="20">
        <f t="shared" si="171"/>
        <v>707.52026322953031</v>
      </c>
      <c r="CC157" s="59">
        <f t="shared" si="119"/>
        <v>1000.8535965628637</v>
      </c>
      <c r="CD157" s="59">
        <f ca="1">AVERAGE(OFFSET($CC$3,0,0,'Données projet'!$E$12+1,1))-AVERAGE(OFFSET($H$3,0,0,'Données projet'!$E$12+1,1))</f>
        <v>442.85175349826028</v>
      </c>
      <c r="CE157" s="59">
        <f t="shared" si="148"/>
        <v>210.70697808232501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0.318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64.955967123009472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64.955967123009472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-7.9808160080574461E-14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289.01603252482897</v>
      </c>
      <c r="T158" s="59">
        <f t="shared" si="142"/>
        <v>233.84231920589906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62.374502991421295</v>
      </c>
      <c r="AA158" s="21">
        <f>EXP(-LN(2)/25)*AA157+(1-EXP(-LN(2)/25))/(LN(2)/25)*Calculateur!V158*Calculateur!X158*VLOOKUP('Données projet'!$B$9,Paramètres!$A$1:$I$89,3,0)*0.475*44/12</f>
        <v>16.78759293337227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79.162095924793562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401.53485840000047</v>
      </c>
      <c r="AK158" s="13">
        <f t="shared" si="164"/>
        <v>92.087764815279797</v>
      </c>
      <c r="AL158" s="20">
        <f t="shared" si="165"/>
        <v>859.72606876661303</v>
      </c>
      <c r="AM158" s="59">
        <f t="shared" si="113"/>
        <v>1153.0594020999463</v>
      </c>
      <c r="AN158" s="59">
        <f ca="1">AVERAGE(OFFSET($AM$3,0,0,'Données projet'!$E$10+1,1))-AVERAGE(OFFSET($H$3,0,0,'Données projet'!$E$10+1,1))</f>
        <v>581.88778927327667</v>
      </c>
      <c r="AO158" s="59">
        <f t="shared" si="144"/>
        <v>269.67340993773422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69.689976852139552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69.689976852139552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449.99596200000047</v>
      </c>
      <c r="BF158" s="13">
        <f t="shared" si="167"/>
        <v>101.84206543885381</v>
      </c>
      <c r="BG158" s="20">
        <f t="shared" si="168"/>
        <v>961.1178977893378</v>
      </c>
      <c r="BH158" s="59">
        <f t="shared" si="116"/>
        <v>1254.4512311226711</v>
      </c>
      <c r="BI158" s="59">
        <f ca="1">AVERAGE(OFFSET($BH$3,0,0,'Données projet'!$E$11+1,1))-AVERAGE(OFFSET($H$3,0,0,'Données projet'!$E$11+1,1))</f>
        <v>646.50767193970182</v>
      </c>
      <c r="BJ158" s="59">
        <f t="shared" si="146"/>
        <v>297.06786598620607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78.100836127397812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78.100836127397812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297.68963640000032</v>
      </c>
      <c r="CA158" s="13">
        <f t="shared" si="170"/>
        <v>70.691904811673083</v>
      </c>
      <c r="CB158" s="20">
        <f t="shared" si="171"/>
        <v>641.59785094366441</v>
      </c>
      <c r="CC158" s="59">
        <f t="shared" si="119"/>
        <v>934.93118427699778</v>
      </c>
      <c r="CD158" s="59">
        <f ca="1">AVERAGE(OFFSET($CC$3,0,0,'Données projet'!$E$12+1,1))-AVERAGE(OFFSET($H$3,0,0,'Données projet'!$E$12+1,1))</f>
        <v>442.85175349826028</v>
      </c>
      <c r="CE158" s="59">
        <f t="shared" si="148"/>
        <v>210.70697808232501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63.682220226955131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63.682220226955131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-7.9808160080574461E-14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289.01603252482897</v>
      </c>
      <c r="T159" s="59">
        <f t="shared" si="142"/>
        <v>233.84231920589906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61.151377032449744</v>
      </c>
      <c r="AA159" s="21">
        <f>EXP(-LN(2)/25)*AA158+(1-EXP(-LN(2)/25))/(LN(2)/25)*Calculateur!V159*Calculateur!X159*VLOOKUP('Données projet'!$B$9,Paramètres!$A$1:$I$89,3,0)*0.475*44/12</f>
        <v>16.328535321788063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77.479912354237811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409.1740848000004</v>
      </c>
      <c r="AK159" s="13">
        <f t="shared" si="164"/>
        <v>93.634108404325715</v>
      </c>
      <c r="AL159" s="20">
        <f t="shared" si="165"/>
        <v>875.72426983086791</v>
      </c>
      <c r="AM159" s="59">
        <f t="shared" si="113"/>
        <v>1169.0576031642013</v>
      </c>
      <c r="AN159" s="59">
        <f ca="1">AVERAGE(OFFSET($AM$3,0,0,'Données projet'!$E$10+1,1))-AVERAGE(OFFSET($H$3,0,0,'Données projet'!$E$10+1,1))</f>
        <v>581.88778927327667</v>
      </c>
      <c r="AO159" s="59">
        <f t="shared" si="144"/>
        <v>269.67340993773422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68.323398912757781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68.323398912757781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458.55716400000051</v>
      </c>
      <c r="BF159" s="13">
        <f t="shared" si="167"/>
        <v>103.55220386280693</v>
      </c>
      <c r="BG159" s="20">
        <f t="shared" si="168"/>
        <v>979.00714902772279</v>
      </c>
      <c r="BH159" s="59">
        <f t="shared" si="116"/>
        <v>1272.340482361056</v>
      </c>
      <c r="BI159" s="59">
        <f ca="1">AVERAGE(OFFSET($BH$3,0,0,'Données projet'!$E$11+1,1))-AVERAGE(OFFSET($H$3,0,0,'Données projet'!$E$11+1,1))</f>
        <v>646.50767193970182</v>
      </c>
      <c r="BJ159" s="59">
        <f t="shared" si="146"/>
        <v>297.06786598620607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76.56932636774583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76.56932636774583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303.35320080000031</v>
      </c>
      <c r="CA159" s="13">
        <f t="shared" si="170"/>
        <v>71.878967762133996</v>
      </c>
      <c r="CB159" s="20">
        <f t="shared" si="171"/>
        <v>653.52936024571716</v>
      </c>
      <c r="CC159" s="59">
        <f t="shared" si="119"/>
        <v>946.86269357905053</v>
      </c>
      <c r="CD159" s="59">
        <f ca="1">AVERAGE(OFFSET($CC$3,0,0,'Données projet'!$E$12+1,1))-AVERAGE(OFFSET($H$3,0,0,'Données projet'!$E$12+1,1))</f>
        <v>442.85175349826028</v>
      </c>
      <c r="CE159" s="59">
        <f t="shared" si="148"/>
        <v>210.70697808232501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62.43345073062352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62.43345073062352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-7.9808160080574461E-14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289.01603252482897</v>
      </c>
      <c r="T160" s="59">
        <f t="shared" si="142"/>
        <v>233.84231920589906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59.952235827500459</v>
      </c>
      <c r="AA160" s="21">
        <f>EXP(-LN(2)/25)*AA159+(1-EXP(-LN(2)/25))/(LN(2)/25)*Calculateur!V160*Calculateur!X160*VLOOKUP('Données projet'!$B$9,Paramètres!$A$1:$I$89,3,0)*0.475*44/12</f>
        <v>15.882030664733415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75.83426649223388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416.81331120000038</v>
      </c>
      <c r="AK160" s="13">
        <f t="shared" si="164"/>
        <v>95.177094964322421</v>
      </c>
      <c r="AL160" s="20">
        <f t="shared" si="165"/>
        <v>891.71662406952885</v>
      </c>
      <c r="AM160" s="59">
        <f t="shared" si="113"/>
        <v>1185.0499574028622</v>
      </c>
      <c r="AN160" s="59">
        <f ca="1">AVERAGE(OFFSET($AM$3,0,0,'Données projet'!$E$10+1,1))-AVERAGE(OFFSET($H$3,0,0,'Données projet'!$E$10+1,1))</f>
        <v>581.88778927327667</v>
      </c>
      <c r="AO160" s="59">
        <f t="shared" si="144"/>
        <v>269.67340993773422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66.983618733237051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66.983618733237051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467.11836600000044</v>
      </c>
      <c r="BF160" s="13">
        <f t="shared" si="167"/>
        <v>105.25862966790358</v>
      </c>
      <c r="BG160" s="20">
        <f t="shared" si="168"/>
        <v>996.88993412159937</v>
      </c>
      <c r="BH160" s="59">
        <f t="shared" si="116"/>
        <v>1290.2232674549327</v>
      </c>
      <c r="BI160" s="59">
        <f ca="1">AVERAGE(OFFSET($BH$3,0,0,'Données projet'!$E$11+1,1))-AVERAGE(OFFSET($H$3,0,0,'Données projet'!$E$11+1,1))</f>
        <v>646.50767193970182</v>
      </c>
      <c r="BJ160" s="59">
        <f t="shared" si="146"/>
        <v>297.06786598620607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75.067848580351907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75.067848580351907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309.01676520000029</v>
      </c>
      <c r="CA160" s="13">
        <f t="shared" si="170"/>
        <v>73.063453662554991</v>
      </c>
      <c r="CB160" s="20">
        <f t="shared" si="171"/>
        <v>665.45638118561703</v>
      </c>
      <c r="CC160" s="59">
        <f t="shared" si="119"/>
        <v>958.7897145189504</v>
      </c>
      <c r="CD160" s="59">
        <f ca="1">AVERAGE(OFFSET($CC$3,0,0,'Données projet'!$E$12+1,1))-AVERAGE(OFFSET($H$3,0,0,'Données projet'!$E$12+1,1))</f>
        <v>442.85175349826028</v>
      </c>
      <c r="CE160" s="59">
        <f t="shared" si="148"/>
        <v>210.70697808232501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61.209168842440789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61.209168842440789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-7.9808160080574461E-14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289.01603252482897</v>
      </c>
      <c r="T161" s="59">
        <f t="shared" si="142"/>
        <v>233.84231920589906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58.776609050176312</v>
      </c>
      <c r="AA161" s="21">
        <f>EXP(-LN(2)/25)*AA160+(1-EXP(-LN(2)/25))/(LN(2)/25)*Calculateur!V161*Calculateur!X161*VLOOKUP('Données projet'!$B$9,Paramètres!$A$1:$I$89,3,0)*0.475*44/12</f>
        <v>15.447735701006586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74.224344751182898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424.45253760000043</v>
      </c>
      <c r="AK161" s="13">
        <f t="shared" si="164"/>
        <v>96.716793118095666</v>
      </c>
      <c r="AL161" s="20">
        <f t="shared" si="165"/>
        <v>907.70325100068385</v>
      </c>
      <c r="AM161" s="59">
        <f t="shared" si="113"/>
        <v>1201.0365843340171</v>
      </c>
      <c r="AN161" s="59">
        <f ca="1">AVERAGE(OFFSET($AM$3,0,0,'Données projet'!$E$10+1,1))-AVERAGE(OFFSET($H$3,0,0,'Données projet'!$E$10+1,1))</f>
        <v>581.88778927327667</v>
      </c>
      <c r="AO161" s="59">
        <f t="shared" si="144"/>
        <v>269.67340993773422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65.670110825851509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65.670110825851509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475.67956800000047</v>
      </c>
      <c r="BF161" s="13">
        <f t="shared" si="167"/>
        <v>106.96141874577063</v>
      </c>
      <c r="BG161" s="20">
        <f t="shared" si="168"/>
        <v>1014.7663852488846</v>
      </c>
      <c r="BH161" s="59">
        <f t="shared" si="116"/>
        <v>1308.099718582218</v>
      </c>
      <c r="BI161" s="59">
        <f ca="1">AVERAGE(OFFSET($BH$3,0,0,'Données projet'!$E$11+1,1))-AVERAGE(OFFSET($H$3,0,0,'Données projet'!$E$11+1,1))</f>
        <v>646.50767193970182</v>
      </c>
      <c r="BJ161" s="59">
        <f t="shared" si="146"/>
        <v>297.06786598620607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73.595813856557768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73.595813856557768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314.68032960000028</v>
      </c>
      <c r="CA161" s="13">
        <f t="shared" si="170"/>
        <v>74.245415191793683</v>
      </c>
      <c r="CB161" s="20">
        <f t="shared" si="171"/>
        <v>677.37900551237442</v>
      </c>
      <c r="CC161" s="59">
        <f t="shared" si="119"/>
        <v>970.71233884570779</v>
      </c>
      <c r="CD161" s="59">
        <f ca="1">AVERAGE(OFFSET($CC$3,0,0,'Données projet'!$E$12+1,1))-AVERAGE(OFFSET($H$3,0,0,'Données projet'!$E$12+1,1))</f>
        <v>442.85175349826028</v>
      </c>
      <c r="CE161" s="59">
        <f t="shared" si="148"/>
        <v>210.70697808232501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60.008894375347104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60.008894375347104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-7.9808160080574461E-14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289.01603252482897</v>
      </c>
      <c r="T162" s="59">
        <f t="shared" si="142"/>
        <v>233.84231920589906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57.624035596893961</v>
      </c>
      <c r="AA162" s="21">
        <f>EXP(-LN(2)/25)*AA161+(1-EXP(-LN(2)/25))/(LN(2)/25)*Calculateur!V162*Calculateur!X162*VLOOKUP('Données projet'!$B$9,Paramètres!$A$1:$I$89,3,0)*0.475*44/12</f>
        <v>15.025316555901446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72.649352152795402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432.09176400000035</v>
      </c>
      <c r="AK162" s="13">
        <f t="shared" si="164"/>
        <v>98.253268876899142</v>
      </c>
      <c r="AL162" s="20">
        <f t="shared" si="165"/>
        <v>923.68426559393322</v>
      </c>
      <c r="AM162" s="59">
        <f t="shared" si="113"/>
        <v>1217.0175989272666</v>
      </c>
      <c r="AN162" s="59">
        <f ca="1">AVERAGE(OFFSET($AM$3,0,0,'Données projet'!$E$10+1,1))-AVERAGE(OFFSET($H$3,0,0,'Données projet'!$E$10+1,1))</f>
        <v>581.88778927327667</v>
      </c>
      <c r="AO162" s="59">
        <f t="shared" si="144"/>
        <v>269.67340993773422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64.382360007369087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64.382360007369087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484.24077000000045</v>
      </c>
      <c r="BF162" s="13">
        <f t="shared" si="167"/>
        <v>108.66064409983538</v>
      </c>
      <c r="BG162" s="20">
        <f t="shared" si="168"/>
        <v>1032.6366295572141</v>
      </c>
      <c r="BH162" s="59">
        <f t="shared" si="116"/>
        <v>1325.9699628905473</v>
      </c>
      <c r="BI162" s="59">
        <f ca="1">AVERAGE(OFFSET($BH$3,0,0,'Données projet'!$E$11+1,1))-AVERAGE(OFFSET($H$3,0,0,'Données projet'!$E$11+1,1))</f>
        <v>646.50767193970182</v>
      </c>
      <c r="BJ162" s="59">
        <f t="shared" si="146"/>
        <v>297.06786598620607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72.152644835844697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72.152644835844697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320.34389400000026</v>
      </c>
      <c r="CA162" s="13">
        <f t="shared" si="170"/>
        <v>75.424903023914041</v>
      </c>
      <c r="CB162" s="20">
        <f t="shared" si="171"/>
        <v>689.29732148331743</v>
      </c>
      <c r="CC162" s="59">
        <f t="shared" si="119"/>
        <v>982.6306548166508</v>
      </c>
      <c r="CD162" s="59">
        <f ca="1">AVERAGE(OFFSET($CC$3,0,0,'Données projet'!$E$12+1,1))-AVERAGE(OFFSET($H$3,0,0,'Données projet'!$E$12+1,1))</f>
        <v>442.85175349826028</v>
      </c>
      <c r="CE162" s="59">
        <f t="shared" si="148"/>
        <v>210.70697808232501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58.832156558457989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58.832156558457989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-7.9808160080574461E-14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289.01603252482897</v>
      </c>
      <c r="T163" s="59">
        <f t="shared" si="142"/>
        <v>233.84231920589906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56.494063406030087</v>
      </c>
      <c r="AA163" s="21">
        <f>EXP(-LN(2)/25)*AA162+(1-EXP(-LN(2)/25))/(LN(2)/25)*Calculateur!V163*Calculateur!X163*VLOOKUP('Données projet'!$B$9,Paramètres!$A$1:$I$89,3,0)*0.475*44/12</f>
        <v>14.614448484533265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71.108511890563349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439.73099040000034</v>
      </c>
      <c r="AK163" s="13">
        <f t="shared" si="164"/>
        <v>99.786585784186272</v>
      </c>
      <c r="AL163" s="20">
        <f t="shared" si="165"/>
        <v>939.65977852079175</v>
      </c>
      <c r="AM163" s="59">
        <f t="shared" si="113"/>
        <v>1232.9931118541251</v>
      </c>
      <c r="AN163" s="59">
        <f ca="1">AVERAGE(OFFSET($AM$3,0,0,'Données projet'!$E$10+1,1))-AVERAGE(OFFSET($H$3,0,0,'Données projet'!$E$10+1,1))</f>
        <v>581.88778927327667</v>
      </c>
      <c r="AO163" s="59">
        <f t="shared" si="144"/>
        <v>269.67340993773422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63.119861196986655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63.119861196986655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492.80197200000038</v>
      </c>
      <c r="BF163" s="13">
        <f t="shared" si="167"/>
        <v>110.35637600432534</v>
      </c>
      <c r="BG163" s="20">
        <f t="shared" si="168"/>
        <v>1050.5007894408673</v>
      </c>
      <c r="BH163" s="59">
        <f t="shared" si="116"/>
        <v>1343.8341227742005</v>
      </c>
      <c r="BI163" s="59">
        <f ca="1">AVERAGE(OFFSET($BH$3,0,0,'Données projet'!$E$11+1,1))-AVERAGE(OFFSET($H$3,0,0,'Données projet'!$E$11+1,1))</f>
        <v>646.50767193970182</v>
      </c>
      <c r="BJ163" s="59">
        <f t="shared" si="146"/>
        <v>297.06786598620607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70.737775479381625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70.737775479381625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326.0074584000003</v>
      </c>
      <c r="CA163" s="13">
        <f t="shared" si="170"/>
        <v>76.601965938553121</v>
      </c>
      <c r="CB163" s="20">
        <f t="shared" si="171"/>
        <v>701.21141405631386</v>
      </c>
      <c r="CC163" s="59">
        <f t="shared" si="119"/>
        <v>994.54474738964723</v>
      </c>
      <c r="CD163" s="59">
        <f ca="1">AVERAGE(OFFSET($CC$3,0,0,'Données projet'!$E$12+1,1))-AVERAGE(OFFSET($H$3,0,0,'Données projet'!$E$12+1,1))</f>
        <v>442.85175349826028</v>
      </c>
      <c r="CE163" s="59">
        <f t="shared" si="148"/>
        <v>210.70697808232501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57.678493852418868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57.678493852418868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-7.9808160080574461E-14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289.01603252482897</v>
      </c>
      <c r="T164" s="59">
        <f t="shared" si="142"/>
        <v>233.84231920589906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55.386249280614074</v>
      </c>
      <c r="AA164" s="21">
        <f>EXP(-LN(2)/25)*AA163+(1-EXP(-LN(2)/25))/(LN(2)/25)*Calculateur!V164*Calculateur!X164*VLOOKUP('Données projet'!$B$9,Paramètres!$A$1:$I$89,3,0)*0.475*44/12</f>
        <v>14.214815622183258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69.601064902797333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447.37021680000026</v>
      </c>
      <c r="AK164" s="13">
        <f t="shared" si="164"/>
        <v>101.3168050491076</v>
      </c>
      <c r="AL164" s="20">
        <f t="shared" si="165"/>
        <v>955.62989638719603</v>
      </c>
      <c r="AM164" s="59">
        <f t="shared" si="113"/>
        <v>1248.9632297205294</v>
      </c>
      <c r="AN164" s="59">
        <f ca="1">AVERAGE(OFFSET($AM$3,0,0,'Données projet'!$E$10+1,1))-AVERAGE(OFFSET($H$3,0,0,'Données projet'!$E$10+1,1))</f>
        <v>581.88778927327667</v>
      </c>
      <c r="AO164" s="59">
        <f t="shared" si="144"/>
        <v>269.67340993773422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61.882119218227587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61.882119218227587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501.36317400000041</v>
      </c>
      <c r="BF164" s="13">
        <f t="shared" si="167"/>
        <v>112.04868215190658</v>
      </c>
      <c r="BG164" s="20">
        <f t="shared" si="168"/>
        <v>1068.3589827979044</v>
      </c>
      <c r="BH164" s="59">
        <f t="shared" si="116"/>
        <v>1361.6923161312377</v>
      </c>
      <c r="BI164" s="59">
        <f ca="1">AVERAGE(OFFSET($BH$3,0,0,'Données projet'!$E$11+1,1))-AVERAGE(OFFSET($H$3,0,0,'Données projet'!$E$11+1,1))</f>
        <v>646.50767193970182</v>
      </c>
      <c r="BJ164" s="59">
        <f t="shared" si="146"/>
        <v>297.06786598620607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69.3506508480137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69.3506508480137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331.67102280000023</v>
      </c>
      <c r="CA164" s="13">
        <f t="shared" si="170"/>
        <v>77.776650923401959</v>
      </c>
      <c r="CB164" s="20">
        <f t="shared" si="171"/>
        <v>713.1213650682588</v>
      </c>
      <c r="CC164" s="59">
        <f t="shared" si="119"/>
        <v>1006.4546984015922</v>
      </c>
      <c r="CD164" s="59">
        <f ca="1">AVERAGE(OFFSET($CC$3,0,0,'Données projet'!$E$12+1,1))-AVERAGE(OFFSET($H$3,0,0,'Données projet'!$E$12+1,1))</f>
        <v>442.85175349826028</v>
      </c>
      <c r="CE164" s="59">
        <f t="shared" si="148"/>
        <v>210.70697808232501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56.547453768380407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56.547453768380407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-7.9808160080574461E-14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289.01603252482897</v>
      </c>
      <c r="T165" s="59">
        <f t="shared" si="142"/>
        <v>233.84231920589906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54.30015871449757</v>
      </c>
      <c r="AA165" s="21">
        <f>EXP(-LN(2)/25)*AA164+(1-EXP(-LN(2)/25))/(LN(2)/25)*Calculateur!V165*Calculateur!X165*VLOOKUP('Données projet'!$B$9,Paramètres!$A$1:$I$89,3,0)*0.475*44/12</f>
        <v>13.826110741469991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68.126269455967559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455.00944320000031</v>
      </c>
      <c r="AK165" s="13">
        <f t="shared" si="164"/>
        <v>102.84398567063174</v>
      </c>
      <c r="AL165" s="20">
        <f t="shared" si="165"/>
        <v>971.59472194968396</v>
      </c>
      <c r="AM165" s="59">
        <f t="shared" si="113"/>
        <v>1264.9280552830173</v>
      </c>
      <c r="AN165" s="59">
        <f ca="1">AVERAGE(OFFSET($AM$3,0,0,'Données projet'!$E$10+1,1))-AVERAGE(OFFSET($H$3,0,0,'Données projet'!$E$10+1,1))</f>
        <v>581.88778927327667</v>
      </c>
      <c r="AO165" s="59">
        <f t="shared" si="144"/>
        <v>269.67340993773422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60.66864860472392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60.66864860472392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509.92437600000034</v>
      </c>
      <c r="BF165" s="13">
        <f t="shared" si="167"/>
        <v>113.73762779095213</v>
      </c>
      <c r="BG165" s="20">
        <f t="shared" si="168"/>
        <v>1086.211323269242</v>
      </c>
      <c r="BH165" s="59">
        <f t="shared" si="116"/>
        <v>1379.5446566025753</v>
      </c>
      <c r="BI165" s="59">
        <f ca="1">AVERAGE(OFFSET($BH$3,0,0,'Données projet'!$E$11+1,1))-AVERAGE(OFFSET($H$3,0,0,'Données projet'!$E$11+1,1))</f>
        <v>646.50767193970182</v>
      </c>
      <c r="BJ165" s="59">
        <f t="shared" si="146"/>
        <v>297.06786598620607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67.990726884604413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67.990726884604413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337.33458720000027</v>
      </c>
      <c r="CA165" s="13">
        <f t="shared" si="170"/>
        <v>78.949003269488188</v>
      </c>
      <c r="CB165" s="20">
        <f t="shared" si="171"/>
        <v>725.02725340102563</v>
      </c>
      <c r="CC165" s="59">
        <f t="shared" si="119"/>
        <v>1018.360586734359</v>
      </c>
      <c r="CD165" s="59">
        <f ca="1">AVERAGE(OFFSET($CC$3,0,0,'Données projet'!$E$12+1,1))-AVERAGE(OFFSET($H$3,0,0,'Données projet'!$E$12+1,1))</f>
        <v>442.85175349826028</v>
      </c>
      <c r="CE165" s="59">
        <f t="shared" si="148"/>
        <v>210.70697808232501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55.438592690523606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55.438592690523606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-7.9808160080574461E-14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289.01603252482897</v>
      </c>
      <c r="T166" s="59">
        <f t="shared" si="142"/>
        <v>233.84231920589906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53.23536572193278</v>
      </c>
      <c r="AA166" s="21">
        <f>EXP(-LN(2)/25)*AA165+(1-EXP(-LN(2)/25))/(LN(2)/25)*Calculateur!V166*Calculateur!X166*VLOOKUP('Données projet'!$B$9,Paramètres!$A$1:$I$89,3,0)*0.475*44/12</f>
        <v>13.448035016160929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66.683400738093709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462.64866960000029</v>
      </c>
      <c r="AK166" s="13">
        <f t="shared" si="164"/>
        <v>104.36818455309495</v>
      </c>
      <c r="AL166" s="20">
        <f t="shared" si="165"/>
        <v>987.5543543166408</v>
      </c>
      <c r="AM166" s="59">
        <f t="shared" si="113"/>
        <v>1280.8876876499742</v>
      </c>
      <c r="AN166" s="59">
        <f ca="1">AVERAGE(OFFSET($AM$3,0,0,'Données projet'!$E$10+1,1))-AVERAGE(OFFSET($H$3,0,0,'Données projet'!$E$10+1,1))</f>
        <v>581.88778927327667</v>
      </c>
      <c r="AO166" s="59">
        <f t="shared" si="144"/>
        <v>269.67340993773422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59.478973409807068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59.478973409807068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518.48557800000037</v>
      </c>
      <c r="BF166" s="13">
        <f t="shared" si="167"/>
        <v>115.42327585333055</v>
      </c>
      <c r="BG166" s="20">
        <f t="shared" si="168"/>
        <v>1104.0579204612179</v>
      </c>
      <c r="BH166" s="59">
        <f t="shared" si="116"/>
        <v>1397.3912537945512</v>
      </c>
      <c r="BI166" s="59">
        <f ca="1">AVERAGE(OFFSET($BH$3,0,0,'Données projet'!$E$11+1,1))-AVERAGE(OFFSET($H$3,0,0,'Données projet'!$E$11+1,1))</f>
        <v>646.50767193970182</v>
      </c>
      <c r="BJ166" s="59">
        <f t="shared" si="146"/>
        <v>297.06786598620607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66.657470200645875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66.657470200645875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342.99815160000026</v>
      </c>
      <c r="CA166" s="13">
        <f t="shared" si="170"/>
        <v>80.119066659877575</v>
      </c>
      <c r="CB166" s="20">
        <f t="shared" si="171"/>
        <v>736.92915513595392</v>
      </c>
      <c r="CC166" s="59">
        <f t="shared" si="119"/>
        <v>1030.2624884692873</v>
      </c>
      <c r="CD166" s="59">
        <f ca="1">AVERAGE(OFFSET($CC$3,0,0,'Données projet'!$E$12+1,1))-AVERAGE(OFFSET($H$3,0,0,'Données projet'!$E$12+1,1))</f>
        <v>442.85175349826028</v>
      </c>
      <c r="CE166" s="59">
        <f t="shared" si="148"/>
        <v>210.70697808232501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54.351475702065102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54.351475702065102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-7.9808160080574461E-14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289.01603252482897</v>
      </c>
      <c r="T167" s="59">
        <f t="shared" si="142"/>
        <v>233.84231920589906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52.191452670492588</v>
      </c>
      <c r="AA167" s="21">
        <f>EXP(-LN(2)/25)*AA166+(1-EXP(-LN(2)/25))/(LN(2)/25)*Calculateur!V167*Calculateur!X167*VLOOKUP('Données projet'!$B$9,Paramètres!$A$1:$I$89,3,0)*0.475*44/12</f>
        <v>13.080297791442582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65.27175046193517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470.28789600000022</v>
      </c>
      <c r="AK167" s="13">
        <f t="shared" si="164"/>
        <v>105.88945661390174</v>
      </c>
      <c r="AL167" s="20">
        <f t="shared" si="165"/>
        <v>1003.5088891358791</v>
      </c>
      <c r="AM167" s="59">
        <f t="shared" si="113"/>
        <v>1296.8422224692124</v>
      </c>
      <c r="AN167" s="59">
        <f ca="1">AVERAGE(OFFSET($AM$3,0,0,'Données projet'!$E$10+1,1))-AVERAGE(OFFSET($H$3,0,0,'Données projet'!$E$10+1,1))</f>
        <v>581.88778927327667</v>
      </c>
      <c r="AO167" s="59">
        <f t="shared" si="144"/>
        <v>269.67340993773422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73.687796339175065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73.687796339175065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527.04678000000035</v>
      </c>
      <c r="BF167" s="13">
        <f t="shared" si="167"/>
        <v>117.10568707351568</v>
      </c>
      <c r="BG167" s="20">
        <f t="shared" si="168"/>
        <v>1121.8988801530404</v>
      </c>
      <c r="BH167" s="59">
        <f t="shared" si="116"/>
        <v>1415.2322134863737</v>
      </c>
      <c r="BI167" s="59">
        <f ca="1">AVERAGE(OFFSET($BH$3,0,0,'Données projet'!$E$11+1,1))-AVERAGE(OFFSET($H$3,0,0,'Données projet'!$E$11+1,1))</f>
        <v>646.50767193970182</v>
      </c>
      <c r="BJ167" s="59">
        <f t="shared" si="146"/>
        <v>297.06786598620607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82.581151069765184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82.581151069765184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348.66171600000018</v>
      </c>
      <c r="CA167" s="13">
        <f t="shared" si="170"/>
        <v>81.286883252352425</v>
      </c>
      <c r="CB167" s="20">
        <f t="shared" si="171"/>
        <v>748.82714369784742</v>
      </c>
      <c r="CC167" s="59">
        <f t="shared" si="119"/>
        <v>1042.1604770311808</v>
      </c>
      <c r="CD167" s="59">
        <f ca="1">AVERAGE(OFFSET($CC$3,0,0,'Données projet'!$E$12+1,1))-AVERAGE(OFFSET($H$3,0,0,'Données projet'!$E$12+1,1))</f>
        <v>442.85175349826028</v>
      </c>
      <c r="CE167" s="59">
        <f t="shared" si="148"/>
        <v>210.70697808232501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0.318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67.335400103039305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67.335400103039305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-7.9808160080574461E-14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289.01603252482897</v>
      </c>
      <c r="T168" s="59">
        <f t="shared" si="142"/>
        <v>233.84231920589906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51.168010117267045</v>
      </c>
      <c r="AA168" s="21">
        <f>EXP(-LN(2)/25)*AA167+(1-EXP(-LN(2)/25))/(LN(2)/25)*Calculateur!V168*Calculateur!X168*VLOOKUP('Données projet'!$B$9,Paramètres!$A$1:$I$89,3,0)*0.475*44/12</f>
        <v>12.722616360472619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63.890626477739666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424.11233280000033</v>
      </c>
      <c r="AK168" s="13">
        <f t="shared" si="164"/>
        <v>96.648293340367189</v>
      </c>
      <c r="AL168" s="20">
        <f t="shared" si="165"/>
        <v>906.99142386114011</v>
      </c>
      <c r="AM168" s="59">
        <f t="shared" si="113"/>
        <v>1200.3247571944735</v>
      </c>
      <c r="AN168" s="59">
        <f ca="1">AVERAGE(OFFSET($AM$3,0,0,'Données projet'!$E$10+1,1))-AVERAGE(OFFSET($H$3,0,0,'Données projet'!$E$10+1,1))</f>
        <v>581.88778927327667</v>
      </c>
      <c r="AO168" s="59">
        <f t="shared" si="144"/>
        <v>269.67340993773422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72.242823598081642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72.242823598081642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475.29830400000037</v>
      </c>
      <c r="BF168" s="13">
        <f t="shared" si="167"/>
        <v>106.88566320039537</v>
      </c>
      <c r="BG168" s="20">
        <f t="shared" si="168"/>
        <v>1013.9704095406892</v>
      </c>
      <c r="BH168" s="59">
        <f t="shared" si="116"/>
        <v>1307.3037428740224</v>
      </c>
      <c r="BI168" s="59">
        <f ca="1">AVERAGE(OFFSET($BH$3,0,0,'Données projet'!$E$11+1,1))-AVERAGE(OFFSET($H$3,0,0,'Données projet'!$E$11+1,1))</f>
        <v>646.50767193970182</v>
      </c>
      <c r="BJ168" s="59">
        <f t="shared" si="146"/>
        <v>297.06786598620607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80.961785066815665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80.961785066815665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314.42810880000025</v>
      </c>
      <c r="CA168" s="13">
        <f t="shared" si="170"/>
        <v>74.192830792807456</v>
      </c>
      <c r="CB168" s="20">
        <f t="shared" si="171"/>
        <v>676.84813645747329</v>
      </c>
      <c r="CC168" s="59">
        <f t="shared" si="119"/>
        <v>970.18146979080666</v>
      </c>
      <c r="CD168" s="59">
        <f ca="1">AVERAGE(OFFSET($CC$3,0,0,'Données projet'!$E$12+1,1))-AVERAGE(OFFSET($H$3,0,0,'Données projet'!$E$12+1,1))</f>
        <v>442.85175349826028</v>
      </c>
      <c r="CE168" s="59">
        <f t="shared" si="148"/>
        <v>210.70697808232501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66.014993977557381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66.014993977557381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-7.9808160080574461E-14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289.01603252482897</v>
      </c>
      <c r="T169" s="59">
        <f t="shared" si="142"/>
        <v>233.84231920589906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50.164636648271937</v>
      </c>
      <c r="AA169" s="21">
        <f>EXP(-LN(2)/25)*AA168+(1-EXP(-LN(2)/25))/(LN(2)/25)*Calculateur!V169*Calculateur!X169*VLOOKUP('Données projet'!$B$9,Paramètres!$A$1:$I$89,3,0)*0.475*44/12</f>
        <v>12.374715747042179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62.539352395314118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431.84475360000033</v>
      </c>
      <c r="AK169" s="13">
        <f t="shared" si="164"/>
        <v>98.203637489221336</v>
      </c>
      <c r="AL169" s="20">
        <f t="shared" si="165"/>
        <v>923.16761448039449</v>
      </c>
      <c r="AM169" s="59">
        <f t="shared" si="113"/>
        <v>1216.5009478137279</v>
      </c>
      <c r="AN169" s="59">
        <f ca="1">AVERAGE(OFFSET($AM$3,0,0,'Données projet'!$E$10+1,1))-AVERAGE(OFFSET($H$3,0,0,'Données projet'!$E$10+1,1))</f>
        <v>581.88778927327667</v>
      </c>
      <c r="AO169" s="59">
        <f t="shared" si="144"/>
        <v>269.67340993773422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70.826185891094724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70.826185891094724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483.96394800000041</v>
      </c>
      <c r="BF169" s="13">
        <f t="shared" si="167"/>
        <v>108.6057555590847</v>
      </c>
      <c r="BG169" s="20">
        <f t="shared" si="168"/>
        <v>1032.0589003654065</v>
      </c>
      <c r="BH169" s="59">
        <f t="shared" si="116"/>
        <v>1325.3922336987398</v>
      </c>
      <c r="BI169" s="59">
        <f ca="1">AVERAGE(OFFSET($BH$3,0,0,'Données projet'!$E$11+1,1))-AVERAGE(OFFSET($H$3,0,0,'Données projet'!$E$11+1,1))</f>
        <v>646.50767193970182</v>
      </c>
      <c r="BJ169" s="59">
        <f t="shared" si="146"/>
        <v>297.06786598620607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79.374173843468256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79.374173843468256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320.16076560000027</v>
      </c>
      <c r="CA169" s="13">
        <f t="shared" si="170"/>
        <v>75.386803094564755</v>
      </c>
      <c r="CB169" s="20">
        <f t="shared" si="171"/>
        <v>688.91201547636729</v>
      </c>
      <c r="CC169" s="59">
        <f t="shared" si="119"/>
        <v>982.24534880970054</v>
      </c>
      <c r="CD169" s="59">
        <f ca="1">AVERAGE(OFFSET($CC$3,0,0,'Données projet'!$E$12+1,1))-AVERAGE(OFFSET($H$3,0,0,'Données projet'!$E$12+1,1))</f>
        <v>442.85175349826028</v>
      </c>
      <c r="CE169" s="59">
        <f t="shared" si="148"/>
        <v>210.70697808232501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64.720480210827958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64.720480210827958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-7.9808160080574461E-14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289.01603252482897</v>
      </c>
      <c r="T170" s="59">
        <f t="shared" si="142"/>
        <v>233.84231920589906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49.180938721006434</v>
      </c>
      <c r="AA170" s="21">
        <f>EXP(-LN(2)/25)*AA169+(1-EXP(-LN(2)/25))/(LN(2)/25)*Calculateur!V170*Calculateur!X170*VLOOKUP('Données projet'!$B$9,Paramètres!$A$1:$I$89,3,0)*0.475*44/12</f>
        <v>12.036328494181292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61.217267215187725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439.57717440000033</v>
      </c>
      <c r="AK170" s="13">
        <f t="shared" si="164"/>
        <v>99.755743172047673</v>
      </c>
      <c r="AL170" s="20">
        <f t="shared" si="165"/>
        <v>939.33816477131688</v>
      </c>
      <c r="AM170" s="59">
        <f t="shared" si="113"/>
        <v>1232.6714981046503</v>
      </c>
      <c r="AN170" s="59">
        <f ca="1">AVERAGE(OFFSET($AM$3,0,0,'Données projet'!$E$10+1,1))-AVERAGE(OFFSET($H$3,0,0,'Données projet'!$E$10+1,1))</f>
        <v>581.88778927327667</v>
      </c>
      <c r="AO170" s="59">
        <f t="shared" si="144"/>
        <v>269.67340993773422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69.43732758547813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69.43732758547813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492.6295920000004</v>
      </c>
      <c r="BF170" s="13">
        <f t="shared" si="167"/>
        <v>110.3222664206035</v>
      </c>
      <c r="BG170" s="20">
        <f t="shared" si="168"/>
        <v>1050.1411534158851</v>
      </c>
      <c r="BH170" s="59">
        <f t="shared" si="116"/>
        <v>1343.4744867492184</v>
      </c>
      <c r="BI170" s="59">
        <f ca="1">AVERAGE(OFFSET($BH$3,0,0,'Données projet'!$E$11+1,1))-AVERAGE(OFFSET($H$3,0,0,'Données projet'!$E$11+1,1))</f>
        <v>646.50767193970182</v>
      </c>
      <c r="BJ170" s="59">
        <f t="shared" si="146"/>
        <v>297.06786598620607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77.817694707863453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77.817694707863453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325.89342240000025</v>
      </c>
      <c r="CA170" s="13">
        <f t="shared" si="170"/>
        <v>76.578289362128245</v>
      </c>
      <c r="CB170" s="20">
        <f t="shared" si="171"/>
        <v>700.97156465237379</v>
      </c>
      <c r="CC170" s="59">
        <f t="shared" si="119"/>
        <v>994.30489798570716</v>
      </c>
      <c r="CD170" s="59">
        <f ca="1">AVERAGE(OFFSET($CC$3,0,0,'Données projet'!$E$12+1,1))-AVERAGE(OFFSET($H$3,0,0,'Données projet'!$E$12+1,1))</f>
        <v>442.85175349826028</v>
      </c>
      <c r="CE170" s="59">
        <f t="shared" si="148"/>
        <v>210.70697808232501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63.451351069488659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63.451351069488659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-7.9808160080574461E-14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289.01603252482897</v>
      </c>
      <c r="T171" s="59">
        <f t="shared" si="142"/>
        <v>233.84231920589906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48.216530510098117</v>
      </c>
      <c r="AA171" s="21">
        <f>EXP(-LN(2)/25)*AA170+(1-EXP(-LN(2)/25))/(LN(2)/25)*Calculateur!V171*Calculateur!X171*VLOOKUP('Données projet'!$B$9,Paramètres!$A$1:$I$89,3,0)*0.475*44/12</f>
        <v>11.707194458544899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59.923724968643015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447.30959520000027</v>
      </c>
      <c r="AK171" s="13">
        <f t="shared" si="164"/>
        <v>101.30467392781068</v>
      </c>
      <c r="AL171" s="20">
        <f t="shared" si="165"/>
        <v>955.50318539760417</v>
      </c>
      <c r="AM171" s="59">
        <f t="shared" si="113"/>
        <v>1248.8365187309375</v>
      </c>
      <c r="AN171" s="59">
        <f ca="1">AVERAGE(OFFSET($AM$3,0,0,'Données projet'!$E$10+1,1))-AVERAGE(OFFSET($H$3,0,0,'Données projet'!$E$10+1,1))</f>
        <v>581.88778927327667</v>
      </c>
      <c r="AO171" s="59">
        <f t="shared" si="144"/>
        <v>269.67340993773422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68.075703944114764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68.075703944114764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501.29523600000039</v>
      </c>
      <c r="BF171" s="13">
        <f t="shared" si="167"/>
        <v>112.03526605421492</v>
      </c>
      <c r="BG171" s="20">
        <f t="shared" si="168"/>
        <v>1068.2172910777583</v>
      </c>
      <c r="BH171" s="59">
        <f t="shared" si="116"/>
        <v>1361.5506244110916</v>
      </c>
      <c r="BI171" s="59">
        <f ca="1">AVERAGE(OFFSET($BH$3,0,0,'Données projet'!$E$11+1,1))-AVERAGE(OFFSET($H$3,0,0,'Données projet'!$E$11+1,1))</f>
        <v>646.50767193970182</v>
      </c>
      <c r="BJ171" s="59">
        <f t="shared" si="146"/>
        <v>297.06786598620607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76.291737178749329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76.291737178749329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331.62607920000028</v>
      </c>
      <c r="CA171" s="13">
        <f t="shared" si="170"/>
        <v>77.767338371688979</v>
      </c>
      <c r="CB171" s="20">
        <f t="shared" si="171"/>
        <v>713.0268689373587</v>
      </c>
      <c r="CC171" s="59">
        <f t="shared" si="119"/>
        <v>1006.3602022706921</v>
      </c>
      <c r="CD171" s="59">
        <f ca="1">AVERAGE(OFFSET($CC$3,0,0,'Données projet'!$E$12+1,1))-AVERAGE(OFFSET($H$3,0,0,'Données projet'!$E$12+1,1))</f>
        <v>442.85175349826028</v>
      </c>
      <c r="CE171" s="59">
        <f t="shared" si="148"/>
        <v>210.70697808232501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62.20710877651868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62.20710877651868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-7.9808160080574461E-14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289.01603252482897</v>
      </c>
      <c r="T172" s="59">
        <f t="shared" si="142"/>
        <v>233.84231920589906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47.271033755974791</v>
      </c>
      <c r="AA172" s="21">
        <f>EXP(-LN(2)/25)*AA171+(1-EXP(-LN(2)/25))/(LN(2)/25)*Calculateur!V172*Calculateur!X172*VLOOKUP('Données projet'!$B$9,Paramètres!$A$1:$I$89,3,0)*0.475*44/12</f>
        <v>11.38706061042139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58.658094366396185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455.04201600000027</v>
      </c>
      <c r="AK172" s="13">
        <f t="shared" si="164"/>
        <v>102.85049097288233</v>
      </c>
      <c r="AL172" s="20">
        <f t="shared" si="165"/>
        <v>971.66278297777069</v>
      </c>
      <c r="AM172" s="59">
        <f t="shared" si="113"/>
        <v>1264.9961163111041</v>
      </c>
      <c r="AN172" s="59">
        <f ca="1">AVERAGE(OFFSET($AM$3,0,0,'Données projet'!$E$10+1,1))-AVERAGE(OFFSET($H$3,0,0,'Données projet'!$E$10+1,1))</f>
        <v>581.88778927327667</v>
      </c>
      <c r="AO172" s="59">
        <f t="shared" si="144"/>
        <v>269.67340993773422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66.740780911850109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66.740780911850109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509.96088000000043</v>
      </c>
      <c r="BF172" s="13">
        <f t="shared" si="167"/>
        <v>113.74482216057152</v>
      </c>
      <c r="BG172" s="20">
        <f t="shared" si="168"/>
        <v>1086.2874312629961</v>
      </c>
      <c r="BH172" s="59">
        <f t="shared" si="116"/>
        <v>1379.6207645963293</v>
      </c>
      <c r="BI172" s="59">
        <f ca="1">AVERAGE(OFFSET($BH$3,0,0,'Données projet'!$E$11+1,1))-AVERAGE(OFFSET($H$3,0,0,'Données projet'!$E$11+1,1))</f>
        <v>646.50767193970182</v>
      </c>
      <c r="BJ172" s="59">
        <f t="shared" si="146"/>
        <v>297.06786598620607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74.795702746038941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74.795702746038941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337.35873600000025</v>
      </c>
      <c r="CA172" s="13">
        <f t="shared" si="170"/>
        <v>78.953997116481773</v>
      </c>
      <c r="CB172" s="20">
        <f t="shared" si="171"/>
        <v>725.0780101778729</v>
      </c>
      <c r="CC172" s="59">
        <f t="shared" si="119"/>
        <v>1018.4113435112063</v>
      </c>
      <c r="CD172" s="59">
        <f ca="1">AVERAGE(OFFSET($CC$3,0,0,'Données projet'!$E$12+1,1))-AVERAGE(OFFSET($H$3,0,0,'Données projet'!$E$12+1,1))</f>
        <v>442.85175349826028</v>
      </c>
      <c r="CE172" s="59">
        <f t="shared" si="148"/>
        <v>210.70697808232501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60.987265316000986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60.987265316000986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-7.9808160080574461E-14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289.01603252482897</v>
      </c>
      <c r="T173" s="59">
        <f t="shared" si="142"/>
        <v>233.84231920589906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46.344077616503746</v>
      </c>
      <c r="AA173" s="21">
        <f>EXP(-LN(2)/25)*AA172+(1-EXP(-LN(2)/25))/(LN(2)/25)*Calculateur!V173*Calculateur!X173*VLOOKUP('Données projet'!$B$9,Paramètres!$A$1:$I$89,3,0)*0.475*44/12</f>
        <v>11.075680839209925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57.419758455713669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462.77443680000027</v>
      </c>
      <c r="AK173" s="13">
        <f t="shared" si="164"/>
        <v>104.39325332394039</v>
      </c>
      <c r="AL173" s="20">
        <f t="shared" si="165"/>
        <v>987.81706029919678</v>
      </c>
      <c r="AM173" s="59">
        <f t="shared" si="113"/>
        <v>1281.15039363253</v>
      </c>
      <c r="AN173" s="59">
        <f ca="1">AVERAGE(OFFSET($AM$3,0,0,'Données projet'!$E$10+1,1))-AVERAGE(OFFSET($H$3,0,0,'Données projet'!$E$10+1,1))</f>
        <v>581.88778927327667</v>
      </c>
      <c r="AO173" s="59">
        <f t="shared" si="144"/>
        <v>269.67340993773422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65.432034906025521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65.432034906025521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518.62652400000036</v>
      </c>
      <c r="BF173" s="13">
        <f t="shared" si="167"/>
        <v>115.45100000763091</v>
      </c>
      <c r="BG173" s="20">
        <f t="shared" si="168"/>
        <v>1104.3516876466244</v>
      </c>
      <c r="BH173" s="59">
        <f t="shared" si="116"/>
        <v>1397.6850209799577</v>
      </c>
      <c r="BI173" s="59">
        <f ca="1">AVERAGE(OFFSET($BH$3,0,0,'Données projet'!$E$11+1,1))-AVERAGE(OFFSET($H$3,0,0,'Données projet'!$E$11+1,1))</f>
        <v>646.50767193970182</v>
      </c>
      <c r="BJ173" s="59">
        <f t="shared" si="146"/>
        <v>297.06786598620607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73.329004636063104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73.329004636063104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343.09139280000028</v>
      </c>
      <c r="CA173" s="13">
        <f t="shared" si="170"/>
        <v>80.138310901128222</v>
      </c>
      <c r="CB173" s="20">
        <f t="shared" si="171"/>
        <v>737.1250672794655</v>
      </c>
      <c r="CC173" s="59">
        <f t="shared" si="119"/>
        <v>1030.4584006127989</v>
      </c>
      <c r="CD173" s="59">
        <f ca="1">AVERAGE(OFFSET($CC$3,0,0,'Données projet'!$E$12+1,1))-AVERAGE(OFFSET($H$3,0,0,'Données projet'!$E$12+1,1))</f>
        <v>442.85175349826028</v>
      </c>
      <c r="CE173" s="59">
        <f t="shared" si="148"/>
        <v>210.70697808232501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59.791342241712996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59.791342241712996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-7.9808160080574461E-14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289.01603252482897</v>
      </c>
      <c r="T174" s="59">
        <f t="shared" si="142"/>
        <v>233.84231920589906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45.435298521540311</v>
      </c>
      <c r="AA174" s="21">
        <f>EXP(-LN(2)/25)*AA173+(1-EXP(-LN(2)/25))/(LN(2)/25)*Calculateur!V174*Calculateur!X174*VLOOKUP('Données projet'!$B$9,Paramètres!$A$1:$I$89,3,0)*0.475*44/12</f>
        <v>10.772815764216988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56.208114285757297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470.50685760000033</v>
      </c>
      <c r="AK174" s="13">
        <f t="shared" si="164"/>
        <v>105.93301791241842</v>
      </c>
      <c r="AL174" s="20">
        <f t="shared" si="165"/>
        <v>1003.9661165174626</v>
      </c>
      <c r="AM174" s="59">
        <f t="shared" si="113"/>
        <v>1297.299449850796</v>
      </c>
      <c r="AN174" s="59">
        <f ca="1">AVERAGE(OFFSET($AM$3,0,0,'Données projet'!$E$10+1,1))-AVERAGE(OFFSET($H$3,0,0,'Données projet'!$E$10+1,1))</f>
        <v>581.88778927327667</v>
      </c>
      <c r="AO174" s="59">
        <f t="shared" si="144"/>
        <v>269.67340993773422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64.148952611118901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64.148952611118901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527.2921680000004</v>
      </c>
      <c r="BF174" s="13">
        <f t="shared" si="167"/>
        <v>117.15386255722979</v>
      </c>
      <c r="BG174" s="20">
        <f t="shared" si="168"/>
        <v>1122.4101698871759</v>
      </c>
      <c r="BH174" s="59">
        <f t="shared" si="116"/>
        <v>1415.7435032205092</v>
      </c>
      <c r="BI174" s="59">
        <f ca="1">AVERAGE(OFFSET($BH$3,0,0,'Données projet'!$E$11+1,1))-AVERAGE(OFFSET($H$3,0,0,'Données projet'!$E$11+1,1))</f>
        <v>646.50767193970182</v>
      </c>
      <c r="BJ174" s="59">
        <f t="shared" si="146"/>
        <v>297.06786598620607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71.891067581426384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71.891067581426384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348.82404960000025</v>
      </c>
      <c r="CA174" s="13">
        <f t="shared" si="170"/>
        <v>81.320323429496455</v>
      </c>
      <c r="CB174" s="20">
        <f t="shared" si="171"/>
        <v>749.1681163597068</v>
      </c>
      <c r="CC174" s="59">
        <f t="shared" si="119"/>
        <v>1042.5014496930401</v>
      </c>
      <c r="CD174" s="59">
        <f ca="1">AVERAGE(OFFSET($CC$3,0,0,'Données projet'!$E$12+1,1))-AVERAGE(OFFSET($H$3,0,0,'Données projet'!$E$12+1,1))</f>
        <v>442.85175349826028</v>
      </c>
      <c r="CE174" s="59">
        <f t="shared" si="148"/>
        <v>210.70697808232501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58.618870489470744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58.618870489470744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-7.9808160080574461E-14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289.01603252482897</v>
      </c>
      <c r="T175" s="59">
        <f t="shared" si="142"/>
        <v>233.84231920589906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44.544340030328591</v>
      </c>
      <c r="AA175" s="21">
        <f>EXP(-LN(2)/25)*AA174+(1-EXP(-LN(2)/25))/(LN(2)/25)*Calculateur!V175*Calculateur!X175*VLOOKUP('Données projet'!$B$9,Paramètres!$A$1:$I$89,3,0)*0.475*44/12</f>
        <v>10.478232550626714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55.022572580955305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478.23927840000039</v>
      </c>
      <c r="AK175" s="13">
        <f t="shared" si="164"/>
        <v>107.46983969122122</v>
      </c>
      <c r="AL175" s="20">
        <f t="shared" si="165"/>
        <v>1020.110047342211</v>
      </c>
      <c r="AM175" s="59">
        <f t="shared" si="113"/>
        <v>1313.4433806755444</v>
      </c>
      <c r="AN175" s="59">
        <f ca="1">AVERAGE(OFFSET($AM$3,0,0,'Données projet'!$E$10+1,1))-AVERAGE(OFFSET($H$3,0,0,'Données projet'!$E$10+1,1))</f>
        <v>581.88778927327667</v>
      </c>
      <c r="AO175" s="59">
        <f t="shared" si="144"/>
        <v>269.67340993773422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62.891030777412482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62.891030777412482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535.95781200000044</v>
      </c>
      <c r="BF175" s="13">
        <f t="shared" si="167"/>
        <v>118.85347058310219</v>
      </c>
      <c r="BG175" s="20">
        <f t="shared" si="168"/>
        <v>1140.4629838322371</v>
      </c>
      <c r="BH175" s="59">
        <f t="shared" si="116"/>
        <v>1433.7963171655704</v>
      </c>
      <c r="BI175" s="59">
        <f ca="1">AVERAGE(OFFSET($BH$3,0,0,'Données projet'!$E$11+1,1))-AVERAGE(OFFSET($H$3,0,0,'Données projet'!$E$11+1,1))</f>
        <v>646.50767193970182</v>
      </c>
      <c r="BJ175" s="59">
        <f t="shared" si="146"/>
        <v>297.06786598620607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70.481327595376086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70.481327595376086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354.55670640000028</v>
      </c>
      <c r="CA175" s="13">
        <f t="shared" si="170"/>
        <v>82.500076886620221</v>
      </c>
      <c r="CB175" s="20">
        <f t="shared" si="171"/>
        <v>761.20723089086403</v>
      </c>
      <c r="CC175" s="59">
        <f t="shared" si="119"/>
        <v>1054.5405642241974</v>
      </c>
      <c r="CD175" s="59">
        <f ca="1">AVERAGE(OFFSET($CC$3,0,0,'Données projet'!$E$12+1,1))-AVERAGE(OFFSET($H$3,0,0,'Données projet'!$E$12+1,1))</f>
        <v>442.85175349826028</v>
      </c>
      <c r="CE175" s="59">
        <f t="shared" si="148"/>
        <v>210.70697808232501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57.469390193152812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57.469390193152812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-7.9808160080574461E-14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289.01603252482897</v>
      </c>
      <c r="T176" s="59">
        <f t="shared" si="142"/>
        <v>233.84231920589906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43.670852691698514</v>
      </c>
      <c r="AA176" s="21">
        <f>EXP(-LN(2)/25)*AA175+(1-EXP(-LN(2)/25))/(LN(2)/25)*Calculateur!V176*Calculateur!X176*VLOOKUP('Données projet'!$B$9,Paramètres!$A$1:$I$89,3,0)*0.475*44/12</f>
        <v>10.191704730503526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53.862557422202038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485.97169920000039</v>
      </c>
      <c r="AK176" s="13">
        <f t="shared" si="164"/>
        <v>109.00377173434057</v>
      </c>
      <c r="AL176" s="20">
        <f t="shared" si="165"/>
        <v>1036.2489452106438</v>
      </c>
      <c r="AM176" s="59">
        <f t="shared" si="113"/>
        <v>1329.5822785439771</v>
      </c>
      <c r="AN176" s="59">
        <f ca="1">AVERAGE(OFFSET($AM$3,0,0,'Données projet'!$E$10+1,1))-AVERAGE(OFFSET($H$3,0,0,'Données projet'!$E$10+1,1))</f>
        <v>581.88778927327667</v>
      </c>
      <c r="AO176" s="59">
        <f t="shared" si="144"/>
        <v>269.67340993773422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61.657776023608484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61.657776023608484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544.62345600000049</v>
      </c>
      <c r="BF176" s="13">
        <f t="shared" si="167"/>
        <v>120.54988278104692</v>
      </c>
      <c r="BG176" s="20">
        <f t="shared" si="168"/>
        <v>1158.510231710324</v>
      </c>
      <c r="BH176" s="59">
        <f t="shared" si="116"/>
        <v>1451.8435650436572</v>
      </c>
      <c r="BI176" s="59">
        <f ca="1">AVERAGE(OFFSET($BH$3,0,0,'Données projet'!$E$11+1,1))-AVERAGE(OFFSET($H$3,0,0,'Données projet'!$E$11+1,1))</f>
        <v>646.50767193970182</v>
      </c>
      <c r="BJ176" s="59">
        <f t="shared" si="146"/>
        <v>297.06786598620607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69.099231750595749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69.099231750595749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360.28936320000031</v>
      </c>
      <c r="CA176" s="13">
        <f t="shared" si="170"/>
        <v>83.677612015171519</v>
      </c>
      <c r="CB176" s="20">
        <f t="shared" si="171"/>
        <v>773.24248183309089</v>
      </c>
      <c r="CC176" s="59">
        <f t="shared" si="119"/>
        <v>1066.5758151664243</v>
      </c>
      <c r="CD176" s="59">
        <f ca="1">AVERAGE(OFFSET($CC$3,0,0,'Données projet'!$E$12+1,1))-AVERAGE(OFFSET($H$3,0,0,'Données projet'!$E$12+1,1))</f>
        <v>442.85175349826028</v>
      </c>
      <c r="CE176" s="59">
        <f t="shared" si="148"/>
        <v>210.70697808232501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56.342450504331921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56.342450504331921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-7.9808160080574461E-14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289.01603252482897</v>
      </c>
      <c r="T177" s="59">
        <f t="shared" si="142"/>
        <v>233.84231920589906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42.814493907004305</v>
      </c>
      <c r="AA177" s="21">
        <f>EXP(-LN(2)/25)*AA176+(1-EXP(-LN(2)/25))/(LN(2)/25)*Calculateur!V177*Calculateur!X177*VLOOKUP('Données projet'!$B$9,Paramètres!$A$1:$I$89,3,0)*0.475*44/12</f>
        <v>9.9130120286894492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52.727505935693756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493.7041200000005</v>
      </c>
      <c r="AK177" s="13">
        <f t="shared" si="164"/>
        <v>110.53486532995269</v>
      </c>
      <c r="AL177" s="20">
        <f t="shared" si="165"/>
        <v>1052.3828994496685</v>
      </c>
      <c r="AM177" s="59">
        <f t="shared" si="113"/>
        <v>1345.7162327830017</v>
      </c>
      <c r="AN177" s="59">
        <f ca="1">AVERAGE(OFFSET($AM$3,0,0,'Données projet'!$E$10+1,1))-AVERAGE(OFFSET($H$3,0,0,'Données projet'!$E$10+1,1))</f>
        <v>581.88778927327667</v>
      </c>
      <c r="AO177" s="59">
        <f t="shared" si="144"/>
        <v>269.67340993773422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115.87208689768337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115.87208689768337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553.28910000000053</v>
      </c>
      <c r="BF177" s="13">
        <f t="shared" si="167"/>
        <v>122.24315587188718</v>
      </c>
      <c r="BG177" s="20">
        <f t="shared" si="168"/>
        <v>1176.5520123102044</v>
      </c>
      <c r="BH177" s="59">
        <f t="shared" si="116"/>
        <v>1469.8853456435377</v>
      </c>
      <c r="BI177" s="59">
        <f ca="1">AVERAGE(OFFSET($BH$3,0,0,'Données projet'!$E$11+1,1))-AVERAGE(OFFSET($H$3,0,0,'Données projet'!$E$11+1,1))</f>
        <v>646.50767193970182</v>
      </c>
      <c r="BJ177" s="59">
        <f t="shared" si="146"/>
        <v>297.06786598620607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129.85664910947281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129.85664910947281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366.0220200000004</v>
      </c>
      <c r="CA177" s="13">
        <f t="shared" si="170"/>
        <v>84.852968186926802</v>
      </c>
      <c r="CB177" s="20">
        <f t="shared" si="171"/>
        <v>785.27393775889823</v>
      </c>
      <c r="CC177" s="59">
        <f t="shared" si="119"/>
        <v>1078.6072710922315</v>
      </c>
      <c r="CD177" s="59">
        <f ca="1">AVERAGE(OFFSET($CC$3,0,0,'Données projet'!$E$12+1,1))-AVERAGE(OFFSET($H$3,0,0,'Données projet'!$E$12+1,1))</f>
        <v>442.85175349826028</v>
      </c>
      <c r="CE177" s="59">
        <f t="shared" si="148"/>
        <v>210.70697808232501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0.318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105.88311388926243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105.88311388926243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-7.9808160080574461E-14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289.01603252482897</v>
      </c>
      <c r="T178" s="59">
        <f t="shared" si="142"/>
        <v>233.84231920589906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41.974927795750666</v>
      </c>
      <c r="AA178" s="21">
        <f>EXP(-LN(2)/25)*AA177+(1-EXP(-LN(2)/25))/(LN(2)/25)*Calculateur!V178*Calculateur!X178*VLOOKUP('Données projet'!$B$9,Paramètres!$A$1:$I$89,3,0)*0.475*44/12</f>
        <v>9.6419401934622897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51.616867989212956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304.2540800000005</v>
      </c>
      <c r="AK178" s="13">
        <f t="shared" si="164"/>
        <v>72.067549889405967</v>
      </c>
      <c r="AL178" s="20">
        <f t="shared" si="165"/>
        <v>655.42683872404962</v>
      </c>
      <c r="AM178" s="59">
        <f t="shared" si="113"/>
        <v>948.76017205738299</v>
      </c>
      <c r="AN178" s="59">
        <f ca="1">AVERAGE(OFFSET($AM$3,0,0,'Données projet'!$E$10+1,1))-AVERAGE(OFFSET($H$3,0,0,'Données projet'!$E$10+1,1))</f>
        <v>581.88778927327667</v>
      </c>
      <c r="AO178" s="59">
        <f t="shared" si="144"/>
        <v>269.67340993773422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113.59990594861424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113.59990594861424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340.97440000000057</v>
      </c>
      <c r="BF178" s="13">
        <f t="shared" si="167"/>
        <v>79.70123008824433</v>
      </c>
      <c r="BG178" s="20">
        <f t="shared" si="168"/>
        <v>732.67672240369313</v>
      </c>
      <c r="BH178" s="59">
        <f t="shared" si="116"/>
        <v>1026.0100557370265</v>
      </c>
      <c r="BI178" s="59">
        <f ca="1">AVERAGE(OFFSET($BH$3,0,0,'Données projet'!$E$11+1,1))-AVERAGE(OFFSET($H$3,0,0,'Données projet'!$E$11+1,1))</f>
        <v>646.50767193970182</v>
      </c>
      <c r="BJ178" s="59">
        <f t="shared" si="146"/>
        <v>297.06786598620607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127.31023942517119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127.31023942517119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225.56768000000039</v>
      </c>
      <c r="CA178" s="13">
        <f t="shared" si="170"/>
        <v>55.323227651487805</v>
      </c>
      <c r="CB178" s="20">
        <f t="shared" si="171"/>
        <v>489.21833082634186</v>
      </c>
      <c r="CC178" s="59">
        <f t="shared" si="119"/>
        <v>782.55166415967517</v>
      </c>
      <c r="CD178" s="59">
        <f ca="1">AVERAGE(OFFSET($CC$3,0,0,'Données projet'!$E$12+1,1))-AVERAGE(OFFSET($H$3,0,0,'Données projet'!$E$12+1,1))</f>
        <v>442.85175349826028</v>
      </c>
      <c r="CE178" s="59">
        <f t="shared" si="148"/>
        <v>210.70697808232501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103.80681060821649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103.80681060821649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-7.9808160080574461E-14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289.01603252482897</v>
      </c>
      <c r="T179" s="59">
        <f t="shared" si="142"/>
        <v>233.84231920589906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41.151825063853948</v>
      </c>
      <c r="AA179" s="21">
        <f>EXP(-LN(2)/25)*AA178+(1-EXP(-LN(2)/25))/(LN(2)/25)*Calculateur!V179*Calculateur!X179*VLOOKUP('Données projet'!$B$9,Paramètres!$A$1:$I$89,3,0)*0.475*44/12</f>
        <v>9.3782808318244655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50.530105895678417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309.12793600000049</v>
      </c>
      <c r="AK179" s="13">
        <f t="shared" si="164"/>
        <v>73.086678650713282</v>
      </c>
      <c r="AL179" s="20">
        <f t="shared" si="165"/>
        <v>665.6904538499931</v>
      </c>
      <c r="AM179" s="59">
        <f t="shared" si="113"/>
        <v>959.02378718332648</v>
      </c>
      <c r="AN179" s="59">
        <f ca="1">AVERAGE(OFFSET($AM$3,0,0,'Données projet'!$E$10+1,1))-AVERAGE(OFFSET($H$3,0,0,'Données projet'!$E$10+1,1))</f>
        <v>581.88778927327667</v>
      </c>
      <c r="AO179" s="59">
        <f t="shared" si="144"/>
        <v>269.67340993773422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111.37228108206281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111.37228108206281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346.43648000000053</v>
      </c>
      <c r="BF179" s="13">
        <f t="shared" si="167"/>
        <v>80.828309002667666</v>
      </c>
      <c r="BG179" s="20">
        <f t="shared" si="168"/>
        <v>744.15284084631367</v>
      </c>
      <c r="BH179" s="59">
        <f t="shared" si="116"/>
        <v>1037.4861741796469</v>
      </c>
      <c r="BI179" s="59">
        <f ca="1">AVERAGE(OFFSET($BH$3,0,0,'Données projet'!$E$11+1,1))-AVERAGE(OFFSET($H$3,0,0,'Données projet'!$E$11+1,1))</f>
        <v>646.50767193970182</v>
      </c>
      <c r="BJ179" s="59">
        <f t="shared" si="146"/>
        <v>297.06786598620607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124.81376328162217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124.81376328162217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229.18105600000035</v>
      </c>
      <c r="CA179" s="13">
        <f t="shared" si="170"/>
        <v>56.105569947770974</v>
      </c>
      <c r="CB179" s="20">
        <f t="shared" si="171"/>
        <v>496.87420685903498</v>
      </c>
      <c r="CC179" s="59">
        <f t="shared" si="119"/>
        <v>790.20754019236824</v>
      </c>
      <c r="CD179" s="59">
        <f ca="1">AVERAGE(OFFSET($CC$3,0,0,'Données projet'!$E$12+1,1))-AVERAGE(OFFSET($H$3,0,0,'Données projet'!$E$12+1,1))</f>
        <v>442.85175349826028</v>
      </c>
      <c r="CE179" s="59">
        <f t="shared" si="148"/>
        <v>210.70697808232501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101.77122236809191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101.77122236809191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-7.9808160080574461E-14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289.01603252482897</v>
      </c>
      <c r="T180" s="59">
        <f t="shared" si="142"/>
        <v>233.84231920589906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40.34486287448663</v>
      </c>
      <c r="AA180" s="21">
        <f>EXP(-LN(2)/25)*AA179+(1-EXP(-LN(2)/25))/(LN(2)/25)*Calculateur!V180*Calculateur!X180*VLOOKUP('Données projet'!$B$9,Paramètres!$A$1:$I$89,3,0)*0.475*44/12</f>
        <v>9.1218312492958713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49.466694123782503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314.00179200000048</v>
      </c>
      <c r="AK180" s="13">
        <f t="shared" si="164"/>
        <v>74.103938722927282</v>
      </c>
      <c r="AL180" s="20">
        <f t="shared" si="165"/>
        <v>675.95081434243241</v>
      </c>
      <c r="AM180" s="59">
        <f t="shared" si="113"/>
        <v>969.28414767576578</v>
      </c>
      <c r="AN180" s="59">
        <f ca="1">AVERAGE(OFFSET($AM$3,0,0,'Données projet'!$E$10+1,1))-AVERAGE(OFFSET($H$3,0,0,'Données projet'!$E$10+1,1))</f>
        <v>581.88778927327667</v>
      </c>
      <c r="AO180" s="59">
        <f t="shared" si="144"/>
        <v>269.67340993773422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138.91418204963006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138.91418204963006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351.8985600000006</v>
      </c>
      <c r="BF180" s="13">
        <f t="shared" si="167"/>
        <v>81.953321289050805</v>
      </c>
      <c r="BG180" s="20">
        <f t="shared" si="168"/>
        <v>755.62535991176446</v>
      </c>
      <c r="BH180" s="59">
        <f t="shared" si="116"/>
        <v>1048.9586932450977</v>
      </c>
      <c r="BI180" s="59">
        <f ca="1">AVERAGE(OFFSET($BH$3,0,0,'Données projet'!$E$11+1,1))-AVERAGE(OFFSET($H$3,0,0,'Données projet'!$E$11+1,1))</f>
        <v>646.50767193970182</v>
      </c>
      <c r="BJ180" s="59">
        <f t="shared" si="146"/>
        <v>297.06786598620607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155.67968677975784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155.67968677975784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232.79443200000037</v>
      </c>
      <c r="CA180" s="13">
        <f t="shared" si="170"/>
        <v>56.886477730014597</v>
      </c>
      <c r="CB180" s="20">
        <f t="shared" si="171"/>
        <v>504.52758444644269</v>
      </c>
      <c r="CC180" s="59">
        <f t="shared" si="119"/>
        <v>797.86091777977595</v>
      </c>
      <c r="CD180" s="59">
        <f ca="1">AVERAGE(OFFSET($CC$3,0,0,'Données projet'!$E$12+1,1))-AVERAGE(OFFSET($H$3,0,0,'Données projet'!$E$12+1,1))</f>
        <v>442.85175349826028</v>
      </c>
      <c r="CE180" s="59">
        <f t="shared" si="148"/>
        <v>210.70697808232501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0.318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126.93882152811024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126.93882152811024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-7.9808160080574461E-14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289.01603252482897</v>
      </c>
      <c r="T181" s="59">
        <f t="shared" si="142"/>
        <v>233.84231920589906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39.553724721454472</v>
      </c>
      <c r="AA181" s="21">
        <f>EXP(-LN(2)/25)*AA180+(1-EXP(-LN(2)/25))/(LN(2)/25)*Calculateur!V181*Calculateur!X181*VLOOKUP('Données projet'!$B$9,Paramètres!$A$1:$I$89,3,0)*0.475*44/12</f>
        <v>8.8723942940876181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48.426119015542092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212.72451200000049</v>
      </c>
      <c r="AK181" s="13">
        <f t="shared" si="164"/>
        <v>52.530512718953382</v>
      </c>
      <c r="AL181" s="20">
        <f t="shared" si="165"/>
        <v>461.98583471884461</v>
      </c>
      <c r="AM181" s="59">
        <f t="shared" si="113"/>
        <v>755.31916805217793</v>
      </c>
      <c r="AN181" s="59">
        <f ca="1">AVERAGE(OFFSET($AM$3,0,0,'Données projet'!$E$10+1,1))-AVERAGE(OFFSET($H$3,0,0,'Données projet'!$E$10+1,1))</f>
        <v>581.88778927327667</v>
      </c>
      <c r="AO181" s="59">
        <f t="shared" si="144"/>
        <v>269.67340993773422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136.19015966892155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136.19015966892155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238.39816000000053</v>
      </c>
      <c r="BF181" s="13">
        <f t="shared" si="167"/>
        <v>58.09475259380514</v>
      </c>
      <c r="BG181" s="20">
        <f t="shared" si="168"/>
        <v>516.39182276754491</v>
      </c>
      <c r="BH181" s="59">
        <f t="shared" si="116"/>
        <v>809.72515610087817</v>
      </c>
      <c r="BI181" s="59">
        <f ca="1">AVERAGE(OFFSET($BH$3,0,0,'Données projet'!$E$11+1,1))-AVERAGE(OFFSET($H$3,0,0,'Données projet'!$E$11+1,1))</f>
        <v>646.50767193970182</v>
      </c>
      <c r="BJ181" s="59">
        <f t="shared" si="146"/>
        <v>297.06786598620607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152.62690307723969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152.62690307723969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157.70955200000037</v>
      </c>
      <c r="CA181" s="13">
        <f t="shared" si="170"/>
        <v>40.325465736795366</v>
      </c>
      <c r="CB181" s="20">
        <f t="shared" si="171"/>
        <v>344.91098922491921</v>
      </c>
      <c r="CC181" s="59">
        <f t="shared" si="119"/>
        <v>638.24432255825252</v>
      </c>
      <c r="CD181" s="59">
        <f ca="1">AVERAGE(OFFSET($CC$3,0,0,'Données projet'!$E$12+1,1))-AVERAGE(OFFSET($H$3,0,0,'Données projet'!$E$12+1,1))</f>
        <v>442.85175349826028</v>
      </c>
      <c r="CE181" s="59">
        <f t="shared" si="148"/>
        <v>210.70697808232501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124.44962866298005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124.44962866298005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-7.9808160080574461E-14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289.01603252482897</v>
      </c>
      <c r="T182" s="59">
        <f t="shared" si="142"/>
        <v>233.84231920589906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38.778100305056647</v>
      </c>
      <c r="AA182" s="21">
        <f>EXP(-LN(2)/25)*AA181+(1-EXP(-LN(2)/25))/(LN(2)/25)*Calculateur!V182*Calculateur!X182*VLOOKUP('Données projet'!$B$9,Paramètres!$A$1:$I$89,3,0)*0.475*44/12</f>
        <v>8.629778205536855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47.407878510593505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215.67114400000045</v>
      </c>
      <c r="AK182" s="13">
        <f t="shared" si="164"/>
        <v>53.172944836363733</v>
      </c>
      <c r="AL182" s="20">
        <f t="shared" si="165"/>
        <v>468.23678805666754</v>
      </c>
      <c r="AM182" s="59">
        <f t="shared" si="113"/>
        <v>761.57012139000085</v>
      </c>
      <c r="AN182" s="59">
        <f ca="1">AVERAGE(OFFSET($AM$3,0,0,'Données projet'!$E$10+1,1))-AVERAGE(OFFSET($H$3,0,0,'Données projet'!$E$10+1,1))</f>
        <v>581.88778927327667</v>
      </c>
      <c r="AO182" s="59">
        <f t="shared" si="144"/>
        <v>269.67340993773422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133.51955370560913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133.51955370560913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241.70042000000055</v>
      </c>
      <c r="BF182" s="13">
        <f t="shared" si="167"/>
        <v>58.805233664472574</v>
      </c>
      <c r="BG182" s="20">
        <f t="shared" si="168"/>
        <v>523.38068013229065</v>
      </c>
      <c r="BH182" s="59">
        <f t="shared" si="116"/>
        <v>816.71401346562402</v>
      </c>
      <c r="BI182" s="59">
        <f ca="1">AVERAGE(OFFSET($BH$3,0,0,'Données projet'!$E$11+1,1))-AVERAGE(OFFSET($H$3,0,0,'Données projet'!$E$11+1,1))</f>
        <v>646.50767193970182</v>
      </c>
      <c r="BJ182" s="59">
        <f t="shared" si="146"/>
        <v>297.06786598620607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149.6339826011137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149.6339826011137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159.89412400000035</v>
      </c>
      <c r="CA182" s="13">
        <f t="shared" si="170"/>
        <v>40.818633859433973</v>
      </c>
      <c r="CB182" s="20">
        <f t="shared" si="171"/>
        <v>349.57471993851476</v>
      </c>
      <c r="CC182" s="59">
        <f t="shared" si="119"/>
        <v>642.90805327184808</v>
      </c>
      <c r="CD182" s="59">
        <f ca="1">AVERAGE(OFFSET($CC$3,0,0,'Données projet'!$E$12+1,1))-AVERAGE(OFFSET($H$3,0,0,'Données projet'!$E$12+1,1))</f>
        <v>442.85175349826028</v>
      </c>
      <c r="CE182" s="59">
        <f t="shared" si="148"/>
        <v>210.70697808232501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122.00924735167732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122.00924735167732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-7.9808160080574461E-14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289.01603252482897</v>
      </c>
      <c r="T183" s="59">
        <f t="shared" si="142"/>
        <v>233.84231920589906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38.017685410380203</v>
      </c>
      <c r="AA183" s="21">
        <f>EXP(-LN(2)/25)*AA182+(1-EXP(-LN(2)/25))/(LN(2)/25)*Calculateur!V183*Calculateur!X183*VLOOKUP('Données projet'!$B$9,Paramètres!$A$1:$I$89,3,0)*0.475*44/12</f>
        <v>8.3937964666861369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46.411481877066336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218.61777600000045</v>
      </c>
      <c r="AK183" s="13">
        <f t="shared" si="164"/>
        <v>53.814356054061541</v>
      </c>
      <c r="AL183" s="20">
        <f t="shared" si="165"/>
        <v>474.48596332749122</v>
      </c>
      <c r="AM183" s="59">
        <f t="shared" si="113"/>
        <v>767.81929666082453</v>
      </c>
      <c r="AN183" s="59">
        <f ca="1">AVERAGE(OFFSET($AM$3,0,0,'Données projet'!$E$10+1,1))-AVERAGE(OFFSET($H$3,0,0,'Données projet'!$E$10+1,1))</f>
        <v>581.88778927327667</v>
      </c>
      <c r="AO183" s="59">
        <f t="shared" si="144"/>
        <v>269.67340993773422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150.95768056842175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150.95768056842175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245.00268000000054</v>
      </c>
      <c r="BF183" s="13">
        <f t="shared" si="167"/>
        <v>59.514585697688133</v>
      </c>
      <c r="BG183" s="20">
        <f t="shared" si="168"/>
        <v>530.36757109014115</v>
      </c>
      <c r="BH183" s="59">
        <f t="shared" si="116"/>
        <v>823.70090442347441</v>
      </c>
      <c r="BI183" s="59">
        <f ca="1">AVERAGE(OFFSET($BH$3,0,0,'Données projet'!$E$11+1,1))-AVERAGE(OFFSET($H$3,0,0,'Données projet'!$E$11+1,1))</f>
        <v>646.50767193970182</v>
      </c>
      <c r="BJ183" s="59">
        <f t="shared" si="146"/>
        <v>297.06786598620607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169.17671098185198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169.17671098185198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162.07869600000035</v>
      </c>
      <c r="CA183" s="13">
        <f t="shared" si="170"/>
        <v>41.311018280291471</v>
      </c>
      <c r="CB183" s="20">
        <f t="shared" si="171"/>
        <v>354.2370857048416</v>
      </c>
      <c r="CC183" s="59">
        <f t="shared" si="119"/>
        <v>647.57041903817492</v>
      </c>
      <c r="CD183" s="59">
        <f ca="1">AVERAGE(OFFSET($CC$3,0,0,'Données projet'!$E$12+1,1))-AVERAGE(OFFSET($H$3,0,0,'Données projet'!$E$12+1,1))</f>
        <v>442.85175349826028</v>
      </c>
      <c r="CE183" s="59">
        <f t="shared" si="148"/>
        <v>210.70697808232501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0.318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137.94408741597161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137.94408741597161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-7.9808160080574461E-14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289.01603252482897</v>
      </c>
      <c r="T184" s="59">
        <f t="shared" si="142"/>
        <v>233.84231920589906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37.272181787981076</v>
      </c>
      <c r="AA184" s="21">
        <f>EXP(-LN(2)/25)*AA183+(1-EXP(-LN(2)/25))/(LN(2)/25)*Calculateur!V184*Calculateur!X184*VLOOKUP('Données projet'!$B$9,Paramètres!$A$1:$I$89,3,0)*0.475*44/12</f>
        <v>8.1642676608940334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45.436449448875109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150.06409600000046</v>
      </c>
      <c r="AK184" s="13">
        <f t="shared" si="164"/>
        <v>38.593151304664545</v>
      </c>
      <c r="AL184" s="20">
        <f t="shared" si="165"/>
        <v>328.57803905562486</v>
      </c>
      <c r="AM184" s="59">
        <f t="shared" si="113"/>
        <v>621.91137238895817</v>
      </c>
      <c r="AN184" s="59">
        <f ca="1">AVERAGE(OFFSET($AM$3,0,0,'Données projet'!$E$10+1,1))-AVERAGE(OFFSET($H$3,0,0,'Données projet'!$E$10+1,1))</f>
        <v>581.88778927327667</v>
      </c>
      <c r="AO184" s="59">
        <f t="shared" si="144"/>
        <v>269.67340993773422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147.99749252756848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147.99749252756848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168.17528000000053</v>
      </c>
      <c r="BF184" s="13">
        <f t="shared" si="167"/>
        <v>42.681090680670735</v>
      </c>
      <c r="BG184" s="20">
        <f t="shared" si="168"/>
        <v>367.24151226883578</v>
      </c>
      <c r="BH184" s="59">
        <f t="shared" si="116"/>
        <v>660.57484560216903</v>
      </c>
      <c r="BI184" s="59">
        <f ca="1">AVERAGE(OFFSET($BH$3,0,0,'Données projet'!$E$11+1,1))-AVERAGE(OFFSET($H$3,0,0,'Données projet'!$E$11+1,1))</f>
        <v>646.50767193970182</v>
      </c>
      <c r="BJ184" s="59">
        <f t="shared" si="146"/>
        <v>297.06786598620607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165.85925886710262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165.85925886710262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111.25441600000035</v>
      </c>
      <c r="CA184" s="13">
        <f t="shared" si="170"/>
        <v>29.626339436997185</v>
      </c>
      <c r="CB184" s="20">
        <f t="shared" si="171"/>
        <v>245.36731571943736</v>
      </c>
      <c r="CC184" s="59">
        <f t="shared" si="119"/>
        <v>538.7006490527707</v>
      </c>
      <c r="CD184" s="59">
        <f ca="1">AVERAGE(OFFSET($CC$3,0,0,'Données projet'!$E$12+1,1))-AVERAGE(OFFSET($H$3,0,0,'Données projet'!$E$12+1,1))</f>
        <v>442.85175349826028</v>
      </c>
      <c r="CE184" s="59">
        <f t="shared" si="148"/>
        <v>210.70697808232501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135.23908799932983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135.23908799932983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-7.9808160080574461E-14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289.01603252482897</v>
      </c>
      <c r="T185" s="59">
        <f t="shared" si="142"/>
        <v>233.84231920589906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36.541297036904879</v>
      </c>
      <c r="AA185" s="21">
        <f>EXP(-LN(2)/25)*AA184+(1-EXP(-LN(2)/25))/(LN(2)/25)*Calculateur!V185*Calculateur!X185*VLOOKUP('Données projet'!$B$9,Paramètres!$A$1:$I$89,3,0)*0.475*44/12</f>
        <v>7.9410153323667094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44.48231236927159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151.83147200000045</v>
      </c>
      <c r="AK185" s="13">
        <f t="shared" si="164"/>
        <v>38.994499777620597</v>
      </c>
      <c r="AL185" s="20">
        <f t="shared" si="165"/>
        <v>332.35523417935661</v>
      </c>
      <c r="AM185" s="59">
        <f t="shared" si="113"/>
        <v>625.68856751268993</v>
      </c>
      <c r="AN185" s="59">
        <f ca="1">AVERAGE(OFFSET($AM$3,0,0,'Données projet'!$E$10+1,1))-AVERAGE(OFFSET($H$3,0,0,'Données projet'!$E$10+1,1))</f>
        <v>581.88778927327667</v>
      </c>
      <c r="AO185" s="59">
        <f t="shared" si="144"/>
        <v>269.67340993773422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145.09535196865994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145.09535196865994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170.1559600000005</v>
      </c>
      <c r="BF185" s="13">
        <f t="shared" si="167"/>
        <v>43.124951572816009</v>
      </c>
      <c r="BG185" s="20">
        <f t="shared" si="168"/>
        <v>371.46425432265534</v>
      </c>
      <c r="BH185" s="59">
        <f t="shared" si="116"/>
        <v>664.79758765598865</v>
      </c>
      <c r="BI185" s="59">
        <f ca="1">AVERAGE(OFFSET($BH$3,0,0,'Données projet'!$E$11+1,1))-AVERAGE(OFFSET($H$3,0,0,'Données projet'!$E$11+1,1))</f>
        <v>646.50767193970182</v>
      </c>
      <c r="BJ185" s="59">
        <f t="shared" si="146"/>
        <v>297.06786598620607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162.60685996487751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162.60685996487751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112.56471200000033</v>
      </c>
      <c r="CA185" s="13">
        <f t="shared" si="170"/>
        <v>29.934437783215401</v>
      </c>
      <c r="CB185" s="20">
        <f t="shared" si="171"/>
        <v>248.18601920576737</v>
      </c>
      <c r="CC185" s="59">
        <f t="shared" si="119"/>
        <v>541.51935253910074</v>
      </c>
      <c r="CD185" s="59">
        <f ca="1">AVERAGE(OFFSET($CC$3,0,0,'Données projet'!$E$12+1,1))-AVERAGE(OFFSET($H$3,0,0,'Données projet'!$E$12+1,1))</f>
        <v>442.85175349826028</v>
      </c>
      <c r="CE185" s="59">
        <f t="shared" si="148"/>
        <v>210.70697808232501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132.58713197136166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132.58713197136166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-7.9808160080574461E-14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289.01603252482897</v>
      </c>
      <c r="T186" s="59">
        <f t="shared" si="142"/>
        <v>233.84231920589906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35.824744490001613</v>
      </c>
      <c r="AA186" s="21">
        <f>EXP(-LN(2)/25)*AA185+(1-EXP(-LN(2)/25))/(LN(2)/25)*Calculateur!V186*Calculateur!X186*VLOOKUP('Données projet'!$B$9,Paramètres!$A$1:$I$89,3,0)*0.475*44/12</f>
        <v>7.7238678505032947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43.54861234050491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153.5988480000004</v>
      </c>
      <c r="AK186" s="13">
        <f t="shared" si="164"/>
        <v>39.395304802658316</v>
      </c>
      <c r="AL186" s="20">
        <f t="shared" si="165"/>
        <v>336.13148279796388</v>
      </c>
      <c r="AM186" s="59">
        <f t="shared" si="113"/>
        <v>629.4648161312972</v>
      </c>
      <c r="AN186" s="59">
        <f ca="1">AVERAGE(OFFSET($AM$3,0,0,'Données projet'!$E$10+1,1))-AVERAGE(OFFSET($H$3,0,0,'Données projet'!$E$10+1,1))</f>
        <v>581.88778927327667</v>
      </c>
      <c r="AO186" s="59">
        <f t="shared" si="144"/>
        <v>269.67340993773422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186.05825662893167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186.05825662893167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172.13664000000048</v>
      </c>
      <c r="BF186" s="13">
        <f t="shared" si="167"/>
        <v>43.568211452887901</v>
      </c>
      <c r="BG186" s="20">
        <f t="shared" si="168"/>
        <v>375.68594961378062</v>
      </c>
      <c r="BH186" s="59">
        <f t="shared" si="116"/>
        <v>669.01928294711388</v>
      </c>
      <c r="BI186" s="59">
        <f ca="1">AVERAGE(OFFSET($BH$3,0,0,'Données projet'!$E$11+1,1))-AVERAGE(OFFSET($H$3,0,0,'Données projet'!$E$11+1,1))</f>
        <v>646.50767193970182</v>
      </c>
      <c r="BJ186" s="59">
        <f t="shared" si="146"/>
        <v>297.06786598620607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208.51356346345793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208.51356346345793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113.87500800000032</v>
      </c>
      <c r="CA186" s="13">
        <f t="shared" si="170"/>
        <v>30.242118947318353</v>
      </c>
      <c r="CB186" s="20">
        <f t="shared" si="171"/>
        <v>251.00399609991334</v>
      </c>
      <c r="CC186" s="59">
        <f t="shared" si="119"/>
        <v>544.33732943324662</v>
      </c>
      <c r="CD186" s="59">
        <f ca="1">AVERAGE(OFFSET($CC$3,0,0,'Données projet'!$E$12+1,1))-AVERAGE(OFFSET($H$3,0,0,'Données projet'!$E$12+1,1))</f>
        <v>442.85175349826028</v>
      </c>
      <c r="CE186" s="59">
        <f t="shared" si="148"/>
        <v>210.70697808232501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0.318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170.0187517471272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170.0187517471272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-7.9808160080574461E-14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289.01603252482897</v>
      </c>
      <c r="T187" s="59">
        <f t="shared" si="142"/>
        <v>233.84231920589906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35.122243101489218</v>
      </c>
      <c r="AA187" s="21">
        <f>EXP(-LN(2)/25)*AA186+(1-EXP(-LN(2)/25))/(LN(2)/25)*Calculateur!V187*Calculateur!X187*VLOOKUP('Données projet'!$B$9,Paramètres!$A$1:$I$89,3,0)*0.475*44/12</f>
        <v>7.5126582779507247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42.634901379439945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4.3717136577470225E-13</v>
      </c>
      <c r="AK187" s="13">
        <f t="shared" si="164"/>
        <v>5.5313598682231701E-12</v>
      </c>
      <c r="AL187" s="20">
        <f t="shared" si="165"/>
        <v>1.039519189921296E-11</v>
      </c>
      <c r="AM187" s="59">
        <f t="shared" si="113"/>
        <v>293.33333333334372</v>
      </c>
      <c r="AN187" s="59">
        <f ca="1">AVERAGE(OFFSET($AM$3,0,0,'Données projet'!$E$10+1,1))-AVERAGE(OFFSET($H$3,0,0,'Données projet'!$E$10+1,1))</f>
        <v>581.88778927327667</v>
      </c>
      <c r="AO187" s="59">
        <f t="shared" si="144"/>
        <v>269.67340993773422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182.40976770076921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182.40976770076921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4.8993342716130437E-13</v>
      </c>
      <c r="BF187" s="13">
        <f t="shared" si="167"/>
        <v>6.1172634040517391E-12</v>
      </c>
      <c r="BG187" s="20">
        <f t="shared" si="168"/>
        <v>1.1507534481029384E-11</v>
      </c>
      <c r="BH187" s="59">
        <f t="shared" si="116"/>
        <v>293.3333333333448</v>
      </c>
      <c r="BI187" s="59">
        <f ca="1">AVERAGE(OFFSET($BH$3,0,0,'Données projet'!$E$11+1,1))-AVERAGE(OFFSET($H$3,0,0,'Données projet'!$E$11+1,1))</f>
        <v>646.50767193970182</v>
      </c>
      <c r="BJ187" s="59">
        <f t="shared" si="146"/>
        <v>297.06786598620607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204.42473966465516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204.42473966465516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3.2410980566055511E-13</v>
      </c>
      <c r="CA187" s="13">
        <f t="shared" si="170"/>
        <v>4.246192380365624E-12</v>
      </c>
      <c r="CB187" s="20">
        <f t="shared" si="171"/>
        <v>7.9599429739955953E-12</v>
      </c>
      <c r="CC187" s="59">
        <f t="shared" si="119"/>
        <v>293.33333333334127</v>
      </c>
      <c r="CD187" s="59">
        <f ca="1">AVERAGE(OFFSET($CC$3,0,0,'Données projet'!$E$12+1,1))-AVERAGE(OFFSET($H$3,0,0,'Données projet'!$E$12+1,1))</f>
        <v>442.85175349826028</v>
      </c>
      <c r="CE187" s="59">
        <f t="shared" si="148"/>
        <v>210.70697808232501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166.68478772656496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166.68478772656496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-7.9808160080574461E-14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289.01603252482897</v>
      </c>
      <c r="T188" s="59">
        <f t="shared" si="142"/>
        <v>233.84231920589906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34.433517336722012</v>
      </c>
      <c r="AA188" s="21">
        <f>EXP(-LN(2)/25)*AA187+(1-EXP(-LN(2)/25))/(LN(2)/25)*Calculateur!V188*Calculateur!X188*VLOOKUP('Données projet'!$B$9,Paramètres!$A$1:$I$89,3,0)*0.475*44/12</f>
        <v>7.307224242266634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41.740741578988647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4.3717136577470225E-13</v>
      </c>
      <c r="AK188" s="13">
        <f t="shared" si="164"/>
        <v>5.5313598682231701E-12</v>
      </c>
      <c r="AL188" s="20">
        <f t="shared" si="165"/>
        <v>1.039519189921296E-11</v>
      </c>
      <c r="AM188" s="59">
        <f t="shared" si="113"/>
        <v>293.33333333334372</v>
      </c>
      <c r="AN188" s="59">
        <f ca="1">AVERAGE(OFFSET($AM$3,0,0,'Données projet'!$E$10+1,1))-AVERAGE(OFFSET($H$3,0,0,'Données projet'!$E$10+1,1))</f>
        <v>581.88778927327667</v>
      </c>
      <c r="AO188" s="59">
        <f t="shared" si="144"/>
        <v>269.67340993773422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178.83282341512952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178.83282341512952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4.8993342716130437E-13</v>
      </c>
      <c r="BF188" s="13">
        <f t="shared" si="167"/>
        <v>6.1172634040517391E-12</v>
      </c>
      <c r="BG188" s="20">
        <f t="shared" si="168"/>
        <v>1.1507534481029384E-11</v>
      </c>
      <c r="BH188" s="59">
        <f t="shared" si="116"/>
        <v>293.3333333333448</v>
      </c>
      <c r="BI188" s="59">
        <f ca="1">AVERAGE(OFFSET($BH$3,0,0,'Données projet'!$E$11+1,1))-AVERAGE(OFFSET($H$3,0,0,'Données projet'!$E$11+1,1))</f>
        <v>646.50767193970182</v>
      </c>
      <c r="BJ188" s="59">
        <f t="shared" si="146"/>
        <v>297.06786598620607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200.41609520661066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200.41609520661066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3.2410980566055511E-13</v>
      </c>
      <c r="CA188" s="13">
        <f t="shared" si="170"/>
        <v>4.246192380365624E-12</v>
      </c>
      <c r="CB188" s="20">
        <f t="shared" si="171"/>
        <v>7.9599429739955953E-12</v>
      </c>
      <c r="CC188" s="59">
        <f t="shared" si="119"/>
        <v>293.33333333334127</v>
      </c>
      <c r="CD188" s="59">
        <f ca="1">AVERAGE(OFFSET($CC$3,0,0,'Données projet'!$E$12+1,1))-AVERAGE(OFFSET($H$3,0,0,'Données projet'!$E$12+1,1))</f>
        <v>442.85175349826028</v>
      </c>
      <c r="CE188" s="59">
        <f t="shared" si="148"/>
        <v>210.70697808232501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163.41620070692869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163.41620070692869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-7.9808160080574461E-14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289.01603252482897</v>
      </c>
      <c r="T189" s="59">
        <f t="shared" si="142"/>
        <v>233.84231920589906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33.758297064120654</v>
      </c>
      <c r="AA189" s="21">
        <f>EXP(-LN(2)/25)*AA188+(1-EXP(-LN(2)/25))/(LN(2)/25)*Calculateur!V189*Calculateur!X189*VLOOKUP('Données projet'!$B$9,Paramètres!$A$1:$I$89,3,0)*0.475*44/12</f>
        <v>7.1074078110916306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40.865704875212288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4.3717136577470225E-13</v>
      </c>
      <c r="AK189" s="13">
        <f t="shared" si="164"/>
        <v>5.5313598682231701E-12</v>
      </c>
      <c r="AL189" s="20">
        <f t="shared" si="165"/>
        <v>1.039519189921296E-11</v>
      </c>
      <c r="AM189" s="59">
        <f t="shared" si="113"/>
        <v>293.33333333334372</v>
      </c>
      <c r="AN189" s="59">
        <f ca="1">AVERAGE(OFFSET($AM$3,0,0,'Données projet'!$E$10+1,1))-AVERAGE(OFFSET($H$3,0,0,'Données projet'!$E$10+1,1))</f>
        <v>581.88778927327667</v>
      </c>
      <c r="AO189" s="59">
        <f t="shared" si="144"/>
        <v>269.67340993773422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175.32602082521063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175.32602082521063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4.8993342716130437E-13</v>
      </c>
      <c r="BF189" s="13">
        <f t="shared" si="167"/>
        <v>6.1172634040517391E-12</v>
      </c>
      <c r="BG189" s="20">
        <f t="shared" si="168"/>
        <v>1.1507534481029384E-11</v>
      </c>
      <c r="BH189" s="59">
        <f t="shared" si="116"/>
        <v>293.3333333333448</v>
      </c>
      <c r="BI189" s="59">
        <f ca="1">AVERAGE(OFFSET($BH$3,0,0,'Données projet'!$E$11+1,1))-AVERAGE(OFFSET($H$3,0,0,'Données projet'!$E$11+1,1))</f>
        <v>646.50767193970182</v>
      </c>
      <c r="BJ189" s="59">
        <f t="shared" si="146"/>
        <v>297.06786598620607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196.48605782135672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196.48605782135672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3.2410980566055511E-13</v>
      </c>
      <c r="CA189" s="13">
        <f t="shared" si="170"/>
        <v>4.246192380365624E-12</v>
      </c>
      <c r="CB189" s="20">
        <f t="shared" si="171"/>
        <v>7.9599429739955953E-12</v>
      </c>
      <c r="CC189" s="59">
        <f t="shared" si="119"/>
        <v>293.33333333334127</v>
      </c>
      <c r="CD189" s="59">
        <f ca="1">AVERAGE(OFFSET($CC$3,0,0,'Données projet'!$E$12+1,1))-AVERAGE(OFFSET($H$3,0,0,'Données projet'!$E$12+1,1))</f>
        <v>442.85175349826028</v>
      </c>
      <c r="CE189" s="59">
        <f t="shared" si="148"/>
        <v>210.70697808232501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160.21170868510626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160.21170868510626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-7.9808160080574461E-14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289.01603252482897</v>
      </c>
      <c r="T190" s="59">
        <f t="shared" si="142"/>
        <v>233.84231920589906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33.09631744922131</v>
      </c>
      <c r="AA190" s="21">
        <f>EXP(-LN(2)/25)*AA189+(1-EXP(-LN(2)/25))/(LN(2)/25)*Calculateur!V190*Calculateur!X190*VLOOKUP('Données projet'!$B$9,Paramètres!$A$1:$I$89,3,0)*0.475*44/12</f>
        <v>6.9130553707349973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40.009372819956305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4.3717136577470225E-13</v>
      </c>
      <c r="AK190" s="13">
        <f t="shared" si="164"/>
        <v>5.5313598682231701E-12</v>
      </c>
      <c r="AL190" s="20">
        <f t="shared" si="165"/>
        <v>1.039519189921296E-11</v>
      </c>
      <c r="AM190" s="59">
        <f t="shared" si="113"/>
        <v>293.33333333334372</v>
      </c>
      <c r="AN190" s="59">
        <f ca="1">AVERAGE(OFFSET($AM$3,0,0,'Données projet'!$E$10+1,1))-AVERAGE(OFFSET($H$3,0,0,'Données projet'!$E$10+1,1))</f>
        <v>581.88778927327667</v>
      </c>
      <c r="AO190" s="59">
        <f t="shared" si="144"/>
        <v>269.67340993773422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171.88798449514167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171.88798449514167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4.8993342716130437E-13</v>
      </c>
      <c r="BF190" s="13">
        <f t="shared" si="167"/>
        <v>6.1172634040517391E-12</v>
      </c>
      <c r="BG190" s="20">
        <f t="shared" si="168"/>
        <v>1.1507534481029384E-11</v>
      </c>
      <c r="BH190" s="59">
        <f t="shared" si="116"/>
        <v>293.3333333333448</v>
      </c>
      <c r="BI190" s="59">
        <f ca="1">AVERAGE(OFFSET($BH$3,0,0,'Données projet'!$E$11+1,1))-AVERAGE(OFFSET($H$3,0,0,'Données projet'!$E$11+1,1))</f>
        <v>646.50767193970182</v>
      </c>
      <c r="BJ190" s="59">
        <f t="shared" si="146"/>
        <v>297.06786598620607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192.63308607214151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192.63308607214151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3.2410980566055511E-13</v>
      </c>
      <c r="CA190" s="13">
        <f t="shared" si="170"/>
        <v>4.246192380365624E-12</v>
      </c>
      <c r="CB190" s="20">
        <f t="shared" si="171"/>
        <v>7.9599429739955953E-12</v>
      </c>
      <c r="CC190" s="59">
        <f t="shared" si="119"/>
        <v>293.33333333334127</v>
      </c>
      <c r="CD190" s="59">
        <f ca="1">AVERAGE(OFFSET($CC$3,0,0,'Données projet'!$E$12+1,1))-AVERAGE(OFFSET($H$3,0,0,'Données projet'!$E$12+1,1))</f>
        <v>442.85175349826028</v>
      </c>
      <c r="CE190" s="59">
        <f t="shared" si="148"/>
        <v>210.70697808232501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157.07005479728463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157.07005479728463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-7.9808160080574461E-14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289.01603252482897</v>
      </c>
      <c r="T191" s="59">
        <f t="shared" si="142"/>
        <v>233.84231920589906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32.447318850802446</v>
      </c>
      <c r="AA191" s="21">
        <f>EXP(-LN(2)/25)*AA190+(1-EXP(-LN(2)/25))/(LN(2)/25)*Calculateur!V191*Calculateur!X191*VLOOKUP('Données projet'!$B$9,Paramètres!$A$1:$I$89,3,0)*0.475*44/12</f>
        <v>6.7240175080804665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39.171336358882911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4.3717136577470225E-13</v>
      </c>
      <c r="AK191" s="13">
        <f t="shared" si="164"/>
        <v>5.5313598682231701E-12</v>
      </c>
      <c r="AL191" s="20">
        <f t="shared" si="165"/>
        <v>1.039519189921296E-11</v>
      </c>
      <c r="AM191" s="59">
        <f t="shared" si="113"/>
        <v>293.33333333334372</v>
      </c>
      <c r="AN191" s="59">
        <f ca="1">AVERAGE(OFFSET($AM$3,0,0,'Données projet'!$E$10+1,1))-AVERAGE(OFFSET($H$3,0,0,'Données projet'!$E$10+1,1))</f>
        <v>581.88778927327667</v>
      </c>
      <c r="AO191" s="59">
        <f t="shared" si="144"/>
        <v>269.67340993773422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168.51736596051026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168.51736596051026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4.8993342716130437E-13</v>
      </c>
      <c r="BF191" s="13">
        <f t="shared" si="167"/>
        <v>6.1172634040517391E-12</v>
      </c>
      <c r="BG191" s="20">
        <f t="shared" si="168"/>
        <v>1.1507534481029384E-11</v>
      </c>
      <c r="BH191" s="59">
        <f t="shared" si="116"/>
        <v>293.3333333333448</v>
      </c>
      <c r="BI191" s="59">
        <f ca="1">AVERAGE(OFFSET($BH$3,0,0,'Données projet'!$E$11+1,1))-AVERAGE(OFFSET($H$3,0,0,'Données projet'!$E$11+1,1))</f>
        <v>646.50767193970182</v>
      </c>
      <c r="BJ191" s="59">
        <f t="shared" si="146"/>
        <v>297.06786598620607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188.85566874884771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188.85566874884771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3.2410980566055511E-13</v>
      </c>
      <c r="CA191" s="13">
        <f t="shared" si="170"/>
        <v>4.246192380365624E-12</v>
      </c>
      <c r="CB191" s="20">
        <f t="shared" si="171"/>
        <v>7.9599429739955953E-12</v>
      </c>
      <c r="CC191" s="59">
        <f t="shared" si="119"/>
        <v>293.33333333334127</v>
      </c>
      <c r="CD191" s="59">
        <f ca="1">AVERAGE(OFFSET($CC$3,0,0,'Données projet'!$E$12+1,1))-AVERAGE(OFFSET($H$3,0,0,'Données projet'!$E$12+1,1))</f>
        <v>442.85175349826028</v>
      </c>
      <c r="CE191" s="59">
        <f t="shared" si="148"/>
        <v>210.70697808232501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153.99000682598353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153.99000682598353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-7.9808160080574461E-14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289.01603252482897</v>
      </c>
      <c r="T192" s="59">
        <f t="shared" si="142"/>
        <v>233.84231920589906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31.81104671904852</v>
      </c>
      <c r="AA192" s="21">
        <f>EXP(-LN(2)/25)*AA191+(1-EXP(-LN(2)/25))/(LN(2)/25)*Calculateur!V192*Calculateur!X192*VLOOKUP('Données projet'!$B$9,Paramètres!$A$1:$I$89,3,0)*0.475*44/12</f>
        <v>6.540148895721293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38.351195614769814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4.3717136577470225E-13</v>
      </c>
      <c r="AK192" s="13">
        <f t="shared" si="164"/>
        <v>5.5313598682231701E-12</v>
      </c>
      <c r="AL192" s="20">
        <f t="shared" si="165"/>
        <v>1.039519189921296E-11</v>
      </c>
      <c r="AM192" s="59">
        <f t="shared" si="113"/>
        <v>293.33333333334372</v>
      </c>
      <c r="AN192" s="59">
        <f ca="1">AVERAGE(OFFSET($AM$3,0,0,'Données projet'!$E$10+1,1))-AVERAGE(OFFSET($H$3,0,0,'Données projet'!$E$10+1,1))</f>
        <v>581.88778927327667</v>
      </c>
      <c r="AO192" s="59">
        <f t="shared" si="144"/>
        <v>269.67340993773422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165.21284319946867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165.21284319946867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4.8993342716130437E-13</v>
      </c>
      <c r="BF192" s="13">
        <f t="shared" si="167"/>
        <v>6.1172634040517391E-12</v>
      </c>
      <c r="BG192" s="20">
        <f t="shared" si="168"/>
        <v>1.1507534481029384E-11</v>
      </c>
      <c r="BH192" s="59">
        <f t="shared" si="116"/>
        <v>293.3333333333448</v>
      </c>
      <c r="BI192" s="59">
        <f ca="1">AVERAGE(OFFSET($BH$3,0,0,'Données projet'!$E$11+1,1))-AVERAGE(OFFSET($H$3,0,0,'Données projet'!$E$11+1,1))</f>
        <v>646.50767193970182</v>
      </c>
      <c r="BJ192" s="59">
        <f t="shared" si="146"/>
        <v>297.06786598620607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185.15232427526661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185.15232427526661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3.2410980566055511E-13</v>
      </c>
      <c r="CA192" s="13">
        <f t="shared" si="170"/>
        <v>4.246192380365624E-12</v>
      </c>
      <c r="CB192" s="20">
        <f t="shared" si="171"/>
        <v>7.9599429739955953E-12</v>
      </c>
      <c r="CC192" s="59">
        <f t="shared" si="119"/>
        <v>293.33333333334127</v>
      </c>
      <c r="CD192" s="59">
        <f ca="1">AVERAGE(OFFSET($CC$3,0,0,'Données projet'!$E$12+1,1))-AVERAGE(OFFSET($H$3,0,0,'Données projet'!$E$12+1,1))</f>
        <v>442.85175349826028</v>
      </c>
      <c r="CE192" s="59">
        <f t="shared" si="148"/>
        <v>210.70697808232501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150.97035671675587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150.97035671675587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-7.9808160080574461E-14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289.01603252482897</v>
      </c>
      <c r="T193" s="59">
        <f t="shared" si="142"/>
        <v>233.84231920589906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31.187251495710608</v>
      </c>
      <c r="AA193" s="21">
        <f>EXP(-LN(2)/25)*AA192+(1-EXP(-LN(2)/25))/(LN(2)/25)*Calculateur!V193*Calculateur!X193*VLOOKUP('Données projet'!$B$9,Paramètres!$A$1:$I$89,3,0)*0.475*44/12</f>
        <v>6.3613081802363114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37.548559675946919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4.3717136577470225E-13</v>
      </c>
      <c r="AK193" s="13">
        <f t="shared" si="164"/>
        <v>5.5313598682231701E-12</v>
      </c>
      <c r="AL193" s="20">
        <f t="shared" si="165"/>
        <v>1.039519189921296E-11</v>
      </c>
      <c r="AM193" s="59">
        <f t="shared" si="113"/>
        <v>293.33333333334372</v>
      </c>
      <c r="AN193" s="59">
        <f ca="1">AVERAGE(OFFSET($AM$3,0,0,'Données projet'!$E$10+1,1))-AVERAGE(OFFSET($H$3,0,0,'Données projet'!$E$10+1,1))</f>
        <v>581.88778927327667</v>
      </c>
      <c r="AO193" s="59">
        <f t="shared" si="144"/>
        <v>269.67340993773422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161.97312011421124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161.97312011421124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4.8993342716130437E-13</v>
      </c>
      <c r="BF193" s="13">
        <f t="shared" si="167"/>
        <v>6.1172634040517391E-12</v>
      </c>
      <c r="BG193" s="20">
        <f t="shared" si="168"/>
        <v>1.1507534481029384E-11</v>
      </c>
      <c r="BH193" s="59">
        <f t="shared" si="116"/>
        <v>293.3333333333448</v>
      </c>
      <c r="BI193" s="59">
        <f ca="1">AVERAGE(OFFSET($BH$3,0,0,'Données projet'!$E$11+1,1))-AVERAGE(OFFSET($H$3,0,0,'Données projet'!$E$11+1,1))</f>
        <v>646.50767193970182</v>
      </c>
      <c r="BJ193" s="59">
        <f t="shared" si="146"/>
        <v>297.06786598620607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181.52160012799536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181.52160012799536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3.2410980566055511E-13</v>
      </c>
      <c r="CA193" s="13">
        <f t="shared" si="170"/>
        <v>4.246192380365624E-12</v>
      </c>
      <c r="CB193" s="20">
        <f t="shared" si="171"/>
        <v>7.9599429739955953E-12</v>
      </c>
      <c r="CC193" s="59">
        <f t="shared" si="119"/>
        <v>293.33333333334127</v>
      </c>
      <c r="CD193" s="59">
        <f ca="1">AVERAGE(OFFSET($CC$3,0,0,'Données projet'!$E$12+1,1))-AVERAGE(OFFSET($H$3,0,0,'Données projet'!$E$12+1,1))</f>
        <v>442.85175349826028</v>
      </c>
      <c r="CE193" s="59">
        <f t="shared" si="148"/>
        <v>210.70697808232501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148.00992010436548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148.00992010436548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-7.9808160080574461E-14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289.01603252482897</v>
      </c>
      <c r="T194" s="59">
        <f t="shared" si="142"/>
        <v>233.84231920589906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30.575688516224837</v>
      </c>
      <c r="AA194" s="21">
        <f>EXP(-LN(2)/25)*AA193+(1-EXP(-LN(2)/25))/(LN(2)/25)*Calculateur!V194*Calculateur!X194*VLOOKUP('Données projet'!$B$9,Paramètres!$A$1:$I$89,3,0)*0.475*44/12</f>
        <v>6.1873578735210915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36.763046389745931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4.3717136577470225E-13</v>
      </c>
      <c r="AK194" s="13">
        <f t="shared" si="164"/>
        <v>5.5313598682231701E-12</v>
      </c>
      <c r="AL194" s="20">
        <f t="shared" si="165"/>
        <v>1.039519189921296E-11</v>
      </c>
      <c r="AM194" s="59">
        <f t="shared" si="113"/>
        <v>293.33333333334372</v>
      </c>
      <c r="AN194" s="59">
        <f ca="1">AVERAGE(OFFSET($AM$3,0,0,'Données projet'!$E$10+1,1))-AVERAGE(OFFSET($H$3,0,0,'Données projet'!$E$10+1,1))</f>
        <v>581.88778927327667</v>
      </c>
      <c r="AO194" s="59">
        <f t="shared" si="144"/>
        <v>269.67340993773422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158.79692602261974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158.79692602261974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4.8993342716130437E-13</v>
      </c>
      <c r="BF194" s="13">
        <f t="shared" si="167"/>
        <v>6.1172634040517391E-12</v>
      </c>
      <c r="BG194" s="20">
        <f t="shared" si="168"/>
        <v>1.1507534481029384E-11</v>
      </c>
      <c r="BH194" s="59">
        <f t="shared" si="116"/>
        <v>293.3333333333448</v>
      </c>
      <c r="BI194" s="59">
        <f ca="1">AVERAGE(OFFSET($BH$3,0,0,'Données projet'!$E$11+1,1))-AVERAGE(OFFSET($H$3,0,0,'Données projet'!$E$11+1,1))</f>
        <v>646.50767193970182</v>
      </c>
      <c r="BJ194" s="59">
        <f t="shared" si="146"/>
        <v>297.06786598620607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177.96207226672902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177.96207226672902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3.2410980566055511E-13</v>
      </c>
      <c r="CA194" s="13">
        <f t="shared" si="170"/>
        <v>4.246192380365624E-12</v>
      </c>
      <c r="CB194" s="20">
        <f t="shared" si="171"/>
        <v>7.9599429739955953E-12</v>
      </c>
      <c r="CC194" s="59">
        <f t="shared" si="119"/>
        <v>293.33333333334127</v>
      </c>
      <c r="CD194" s="59">
        <f ca="1">AVERAGE(OFFSET($CC$3,0,0,'Données projet'!$E$12+1,1))-AVERAGE(OFFSET($H$3,0,0,'Données projet'!$E$12+1,1))</f>
        <v>442.85175349826028</v>
      </c>
      <c r="CE194" s="59">
        <f t="shared" si="148"/>
        <v>210.70697808232501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145.10753584825602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145.10753584825602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-7.9808160080574461E-14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289.01603252482897</v>
      </c>
      <c r="T195" s="59">
        <f t="shared" si="142"/>
        <v>233.84231920589906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29.976117913750194</v>
      </c>
      <c r="AA195" s="21">
        <f>EXP(-LN(2)/25)*AA194+(1-EXP(-LN(2)/25))/(LN(2)/25)*Calculateur!V195*Calculateur!X195*VLOOKUP('Données projet'!$B$9,Paramètres!$A$1:$I$89,3,0)*0.475*44/12</f>
        <v>6.018164247090648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35.994282160840839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4.3717136577470225E-13</v>
      </c>
      <c r="AK195" s="13">
        <f t="shared" si="164"/>
        <v>5.5313598682231701E-12</v>
      </c>
      <c r="AL195" s="20">
        <f t="shared" si="165"/>
        <v>1.039519189921296E-11</v>
      </c>
      <c r="AM195" s="59">
        <f t="shared" si="113"/>
        <v>293.33333333334372</v>
      </c>
      <c r="AN195" s="59">
        <f ca="1">AVERAGE(OFFSET($AM$3,0,0,'Données projet'!$E$10+1,1))-AVERAGE(OFFSET($H$3,0,0,'Données projet'!$E$10+1,1))</f>
        <v>581.88778927327667</v>
      </c>
      <c r="AO195" s="59">
        <f t="shared" si="144"/>
        <v>269.67340993773422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155.68301515987724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155.68301515987724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4.8993342716130437E-13</v>
      </c>
      <c r="BF195" s="13">
        <f t="shared" si="167"/>
        <v>6.1172634040517391E-12</v>
      </c>
      <c r="BG195" s="20">
        <f t="shared" si="168"/>
        <v>1.1507534481029384E-11</v>
      </c>
      <c r="BH195" s="59">
        <f t="shared" si="116"/>
        <v>293.3333333333448</v>
      </c>
      <c r="BI195" s="59">
        <f ca="1">AVERAGE(OFFSET($BH$3,0,0,'Données projet'!$E$11+1,1))-AVERAGE(OFFSET($H$3,0,0,'Données projet'!$E$11+1,1))</f>
        <v>646.50767193970182</v>
      </c>
      <c r="BJ195" s="59">
        <f t="shared" si="146"/>
        <v>297.06786598620607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174.47234457572452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174.47234457572452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3.2410980566055511E-13</v>
      </c>
      <c r="CA195" s="13">
        <f t="shared" si="170"/>
        <v>4.246192380365624E-12</v>
      </c>
      <c r="CB195" s="20">
        <f t="shared" si="171"/>
        <v>7.9599429739955953E-12</v>
      </c>
      <c r="CC195" s="59">
        <f t="shared" si="119"/>
        <v>293.33333333334127</v>
      </c>
      <c r="CD195" s="59">
        <f ca="1">AVERAGE(OFFSET($CC$3,0,0,'Données projet'!$E$12+1,1))-AVERAGE(OFFSET($H$3,0,0,'Données projet'!$E$12+1,1))</f>
        <v>442.85175349826028</v>
      </c>
      <c r="CE195" s="59">
        <f t="shared" si="148"/>
        <v>210.70697808232501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142.26206557712925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142.26206557712925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-7.9808160080574461E-14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289.01603252482897</v>
      </c>
      <c r="T196" s="59">
        <f t="shared" si="142"/>
        <v>233.84231920589906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29.38830452508812</v>
      </c>
      <c r="AA196" s="21">
        <f>EXP(-LN(2)/25)*AA195+(1-EXP(-LN(2)/25))/(LN(2)/25)*Calculateur!V196*Calculateur!X196*VLOOKUP('Données projet'!$B$9,Paramètres!$A$1:$I$89,3,0)*0.475*44/12</f>
        <v>5.8535972292724514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35.241901754360569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4.3717136577470225E-13</v>
      </c>
      <c r="AK196" s="13">
        <f t="shared" si="164"/>
        <v>5.5313598682231701E-12</v>
      </c>
      <c r="AL196" s="20">
        <f t="shared" si="165"/>
        <v>1.039519189921296E-11</v>
      </c>
      <c r="AM196" s="59">
        <f t="shared" ref="AM196:AM203" si="193">AL196+(AD196+AE196)*44/12</f>
        <v>293.33333333334372</v>
      </c>
      <c r="AN196" s="59">
        <f ca="1">AVERAGE(OFFSET($AM$3,0,0,'Données projet'!$E$10+1,1))-AVERAGE(OFFSET($H$3,0,0,'Données projet'!$E$10+1,1))</f>
        <v>581.88778927327667</v>
      </c>
      <c r="AO196" s="59">
        <f t="shared" si="144"/>
        <v>269.67340993773422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152.63016618985506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152.63016618985506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4.8993342716130437E-13</v>
      </c>
      <c r="BF196" s="13">
        <f t="shared" si="167"/>
        <v>6.1172634040517391E-12</v>
      </c>
      <c r="BG196" s="20">
        <f t="shared" si="168"/>
        <v>1.1507534481029384E-11</v>
      </c>
      <c r="BH196" s="59">
        <f t="shared" ref="BH196:BH203" si="194">BG196+(AY196+AZ196)*44/12</f>
        <v>293.3333333333448</v>
      </c>
      <c r="BI196" s="59">
        <f ca="1">AVERAGE(OFFSET($BH$3,0,0,'Données projet'!$E$11+1,1))-AVERAGE(OFFSET($H$3,0,0,'Données projet'!$E$11+1,1))</f>
        <v>646.50767193970182</v>
      </c>
      <c r="BJ196" s="59">
        <f t="shared" si="146"/>
        <v>297.06786598620607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171.05104831621688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171.05104831621688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3.2410980566055511E-13</v>
      </c>
      <c r="CA196" s="13">
        <f t="shared" si="170"/>
        <v>4.246192380365624E-12</v>
      </c>
      <c r="CB196" s="20">
        <f t="shared" si="171"/>
        <v>7.9599429739955953E-12</v>
      </c>
      <c r="CC196" s="59">
        <f t="shared" ref="CC196:CC203" si="195">CB196+(BT196+BU196)*44/12</f>
        <v>293.33333333334127</v>
      </c>
      <c r="CD196" s="59">
        <f ca="1">AVERAGE(OFFSET($CC$3,0,0,'Données projet'!$E$12+1,1))-AVERAGE(OFFSET($H$3,0,0,'Données projet'!$E$12+1,1))</f>
        <v>442.85175349826028</v>
      </c>
      <c r="CE196" s="59">
        <f t="shared" si="148"/>
        <v>210.70697808232501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139.47239324245379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139.47239324245379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-7.9808160080574461E-14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289.01603252482897</v>
      </c>
      <c r="T197" s="59">
        <f t="shared" ref="T197:T203" si="204">$T$3</f>
        <v>233.84231920589906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28.812017798446945</v>
      </c>
      <c r="AA197" s="21">
        <f>EXP(-LN(2)/25)*AA196+(1-EXP(-LN(2)/25))/(LN(2)/25)*Calculateur!V197*Calculateur!X197*VLOOKUP('Données projet'!$B$9,Paramètres!$A$1:$I$89,3,0)*0.475*44/12</f>
        <v>5.6935303052106967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34.505548103657645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4.3717136577470225E-13</v>
      </c>
      <c r="AK197" s="13">
        <f t="shared" si="164"/>
        <v>5.5313598682231701E-12</v>
      </c>
      <c r="AL197" s="20">
        <f t="shared" si="165"/>
        <v>1.039519189921296E-11</v>
      </c>
      <c r="AM197" s="59">
        <f t="shared" si="193"/>
        <v>293.33333333334372</v>
      </c>
      <c r="AN197" s="59">
        <f ca="1">AVERAGE(OFFSET($AM$3,0,0,'Données projet'!$E$10+1,1))-AVERAGE(OFFSET($H$3,0,0,'Données projet'!$E$10+1,1))</f>
        <v>581.88778927327667</v>
      </c>
      <c r="AO197" s="59">
        <f t="shared" ref="AO197:AO203" si="205">$AO$3</f>
        <v>269.67340993773422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149.637181726081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149.637181726081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4.8993342716130437E-13</v>
      </c>
      <c r="BF197" s="13">
        <f t="shared" si="167"/>
        <v>6.1172634040517391E-12</v>
      </c>
      <c r="BG197" s="20">
        <f t="shared" si="168"/>
        <v>1.1507534481029384E-11</v>
      </c>
      <c r="BH197" s="59">
        <f t="shared" si="194"/>
        <v>293.3333333333448</v>
      </c>
      <c r="BI197" s="59">
        <f ca="1">AVERAGE(OFFSET($BH$3,0,0,'Données projet'!$E$11+1,1))-AVERAGE(OFFSET($H$3,0,0,'Données projet'!$E$11+1,1))</f>
        <v>646.50767193970182</v>
      </c>
      <c r="BJ197" s="59">
        <f t="shared" ref="BJ197:BJ203" si="206">$BJ$3</f>
        <v>297.06786598620607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167.69684158957352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167.69684158957352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3.2410980566055511E-13</v>
      </c>
      <c r="CA197" s="13">
        <f t="shared" si="170"/>
        <v>4.246192380365624E-12</v>
      </c>
      <c r="CB197" s="20">
        <f t="shared" si="171"/>
        <v>7.9599429739955953E-12</v>
      </c>
      <c r="CC197" s="59">
        <f t="shared" si="195"/>
        <v>293.33333333334127</v>
      </c>
      <c r="CD197" s="59">
        <f ca="1">AVERAGE(OFFSET($CC$3,0,0,'Données projet'!$E$12+1,1))-AVERAGE(OFFSET($H$3,0,0,'Données projet'!$E$12+1,1))</f>
        <v>442.85175349826028</v>
      </c>
      <c r="CE197" s="59">
        <f t="shared" ref="CE197:CE203" si="207">$CE$3</f>
        <v>210.70697808232501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136.73742468072922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136.73742468072922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-7.9808160080574461E-14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289.01603252482897</v>
      </c>
      <c r="T198" s="59">
        <f t="shared" si="204"/>
        <v>233.84231920589906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28.247031703015008</v>
      </c>
      <c r="AA198" s="21">
        <f>EXP(-LN(2)/25)*AA197+(1-EXP(-LN(2)/25))/(LN(2)/25)*Calculateur!V198*Calculateur!X198*VLOOKUP('Données projet'!$B$9,Paramètres!$A$1:$I$89,3,0)*0.475*44/12</f>
        <v>5.5378404196049642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33.784872122619973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4.3717136577470225E-13</v>
      </c>
      <c r="AK198" s="13">
        <f t="shared" si="164"/>
        <v>5.5313598682231701E-12</v>
      </c>
      <c r="AL198" s="20">
        <f t="shared" si="165"/>
        <v>1.039519189921296E-11</v>
      </c>
      <c r="AM198" s="59">
        <f t="shared" si="193"/>
        <v>293.33333333334372</v>
      </c>
      <c r="AN198" s="59">
        <f ca="1">AVERAGE(OFFSET($AM$3,0,0,'Données projet'!$E$10+1,1))-AVERAGE(OFFSET($H$3,0,0,'Données projet'!$E$10+1,1))</f>
        <v>581.88778927327667</v>
      </c>
      <c r="AO198" s="59">
        <f t="shared" si="205"/>
        <v>269.67340993773422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146.70288786210128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146.70288786210128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4.8993342716130437E-13</v>
      </c>
      <c r="BF198" s="13">
        <f t="shared" si="167"/>
        <v>6.1172634040517391E-12</v>
      </c>
      <c r="BG198" s="20">
        <f t="shared" si="168"/>
        <v>1.1507534481029384E-11</v>
      </c>
      <c r="BH198" s="59">
        <f t="shared" si="194"/>
        <v>293.3333333333448</v>
      </c>
      <c r="BI198" s="59">
        <f ca="1">AVERAGE(OFFSET($BH$3,0,0,'Données projet'!$E$11+1,1))-AVERAGE(OFFSET($H$3,0,0,'Données projet'!$E$11+1,1))</f>
        <v>646.50767193970182</v>
      </c>
      <c r="BJ198" s="59">
        <f t="shared" si="206"/>
        <v>297.06786598620607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164.40840881097554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164.40840881097554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3.2410980566055511E-13</v>
      </c>
      <c r="CA198" s="13">
        <f t="shared" si="170"/>
        <v>4.246192380365624E-12</v>
      </c>
      <c r="CB198" s="20">
        <f t="shared" si="171"/>
        <v>7.9599429739955953E-12</v>
      </c>
      <c r="CC198" s="59">
        <f t="shared" si="195"/>
        <v>293.33333333334127</v>
      </c>
      <c r="CD198" s="59">
        <f ca="1">AVERAGE(OFFSET($CC$3,0,0,'Données projet'!$E$12+1,1))-AVERAGE(OFFSET($H$3,0,0,'Données projet'!$E$12+1,1))</f>
        <v>442.85175349826028</v>
      </c>
      <c r="CE198" s="59">
        <f t="shared" si="207"/>
        <v>210.70697808232501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134.05608718433396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134.05608718433396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-7.9808160080574461E-14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289.01603252482897</v>
      </c>
      <c r="T199" s="59">
        <f t="shared" si="204"/>
        <v>233.84231920589906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27.693124640307001</v>
      </c>
      <c r="AA199" s="21">
        <f>EXP(-LN(2)/25)*AA198+(1-EXP(-LN(2)/25))/(LN(2)/25)*Calculateur!V199*Calculateur!X199*VLOOKUP('Données projet'!$B$9,Paramètres!$A$1:$I$89,3,0)*0.475*44/12</f>
        <v>5.3864078821084957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33.079532522415498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4.3717136577470225E-13</v>
      </c>
      <c r="AK199" s="13">
        <f t="shared" si="164"/>
        <v>5.5313598682231701E-12</v>
      </c>
      <c r="AL199" s="20">
        <f t="shared" si="165"/>
        <v>1.039519189921296E-11</v>
      </c>
      <c r="AM199" s="59">
        <f t="shared" si="193"/>
        <v>293.33333333334372</v>
      </c>
      <c r="AN199" s="59">
        <f ca="1">AVERAGE(OFFSET($AM$3,0,0,'Données projet'!$E$10+1,1))-AVERAGE(OFFSET($H$3,0,0,'Données projet'!$E$10+1,1))</f>
        <v>581.88778927327667</v>
      </c>
      <c r="AO199" s="59">
        <f t="shared" si="205"/>
        <v>269.67340993773422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143.82613371105165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143.82613371105165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4.8993342716130437E-13</v>
      </c>
      <c r="BF199" s="13">
        <f t="shared" si="167"/>
        <v>6.1172634040517391E-12</v>
      </c>
      <c r="BG199" s="20">
        <f t="shared" si="168"/>
        <v>1.1507534481029384E-11</v>
      </c>
      <c r="BH199" s="59">
        <f t="shared" si="194"/>
        <v>293.3333333333448</v>
      </c>
      <c r="BI199" s="59">
        <f ca="1">AVERAGE(OFFSET($BH$3,0,0,'Données projet'!$E$11+1,1))-AVERAGE(OFFSET($H$3,0,0,'Données projet'!$E$11+1,1))</f>
        <v>646.50767193970182</v>
      </c>
      <c r="BJ199" s="59">
        <f t="shared" si="206"/>
        <v>297.06786598620607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161.18446019341994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161.18446019341994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3.2410980566055511E-13</v>
      </c>
      <c r="CA199" s="13">
        <f t="shared" si="170"/>
        <v>4.246192380365624E-12</v>
      </c>
      <c r="CB199" s="20">
        <f t="shared" si="171"/>
        <v>7.9599429739955953E-12</v>
      </c>
      <c r="CC199" s="59">
        <f t="shared" si="195"/>
        <v>293.33333333334127</v>
      </c>
      <c r="CD199" s="59">
        <f ca="1">AVERAGE(OFFSET($CC$3,0,0,'Données projet'!$E$12+1,1))-AVERAGE(OFFSET($H$3,0,0,'Données projet'!$E$12+1,1))</f>
        <v>442.85175349826028</v>
      </c>
      <c r="CE199" s="59">
        <f t="shared" si="207"/>
        <v>210.70697808232501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131.42732908078861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131.42732908078861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-7.9808160080574461E-14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289.01603252482897</v>
      </c>
      <c r="T200" s="59">
        <f t="shared" si="204"/>
        <v>233.84231920589906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27.15007935724875</v>
      </c>
      <c r="AA200" s="21">
        <f>EXP(-LN(2)/25)*AA199+(1-EXP(-LN(2)/25))/(LN(2)/25)*Calculateur!V200*Calculateur!X200*VLOOKUP('Données projet'!$B$9,Paramètres!$A$1:$I$89,3,0)*0.475*44/12</f>
        <v>5.2391162753133589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32.389195632562107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4.3717136577470225E-13</v>
      </c>
      <c r="AK200" s="13">
        <f t="shared" si="164"/>
        <v>5.5313598682231701E-12</v>
      </c>
      <c r="AL200" s="20">
        <f t="shared" si="165"/>
        <v>1.039519189921296E-11</v>
      </c>
      <c r="AM200" s="59">
        <f t="shared" si="193"/>
        <v>293.33333333334372</v>
      </c>
      <c r="AN200" s="59">
        <f ca="1">AVERAGE(OFFSET($AM$3,0,0,'Données projet'!$E$10+1,1))-AVERAGE(OFFSET($H$3,0,0,'Données projet'!$E$10+1,1))</f>
        <v>581.88778927327667</v>
      </c>
      <c r="AO200" s="59">
        <f t="shared" si="205"/>
        <v>269.67340993773422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141.00579095425735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141.00579095425735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4.8993342716130437E-13</v>
      </c>
      <c r="BF200" s="13">
        <f t="shared" si="167"/>
        <v>6.1172634040517391E-12</v>
      </c>
      <c r="BG200" s="20">
        <f t="shared" si="168"/>
        <v>1.1507534481029384E-11</v>
      </c>
      <c r="BH200" s="59">
        <f t="shared" si="194"/>
        <v>293.3333333333448</v>
      </c>
      <c r="BI200" s="59">
        <f ca="1">AVERAGE(OFFSET($BH$3,0,0,'Données projet'!$E$11+1,1))-AVERAGE(OFFSET($H$3,0,0,'Données projet'!$E$11+1,1))</f>
        <v>646.50767193970182</v>
      </c>
      <c r="BJ200" s="59">
        <f t="shared" si="206"/>
        <v>297.06786598620607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158.0237312418401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158.0237312418401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3.2410980566055511E-13</v>
      </c>
      <c r="CA200" s="13">
        <f t="shared" si="170"/>
        <v>4.246192380365624E-12</v>
      </c>
      <c r="CB200" s="20">
        <f t="shared" si="171"/>
        <v>7.9599429739955953E-12</v>
      </c>
      <c r="CC200" s="59">
        <f t="shared" si="195"/>
        <v>293.33333333334127</v>
      </c>
      <c r="CD200" s="59">
        <f ca="1">AVERAGE(OFFSET($CC$3,0,0,'Données projet'!$E$12+1,1))-AVERAGE(OFFSET($H$3,0,0,'Données projet'!$E$12+1,1))</f>
        <v>442.85175349826028</v>
      </c>
      <c r="CE200" s="59">
        <f t="shared" si="207"/>
        <v>210.70697808232501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128.85011932026967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128.85011932026967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-7.9808160080574461E-14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289.01603252482897</v>
      </c>
      <c r="T201" s="59">
        <f t="shared" si="204"/>
        <v>233.84231920589906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26.617682860966354</v>
      </c>
      <c r="AA201" s="21">
        <f>EXP(-LN(2)/25)*AA200+(1-EXP(-LN(2)/25))/(LN(2)/25)*Calculateur!V201*Calculateur!X201*VLOOKUP('Données projet'!$B$9,Paramètres!$A$1:$I$89,3,0)*0.475*44/12</f>
        <v>5.0958523652517647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31.71353522621812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4.3717136577470225E-13</v>
      </c>
      <c r="AK201" s="13">
        <f t="shared" si="164"/>
        <v>5.5313598682231701E-12</v>
      </c>
      <c r="AL201" s="20">
        <f t="shared" si="165"/>
        <v>1.039519189921296E-11</v>
      </c>
      <c r="AM201" s="59">
        <f t="shared" si="193"/>
        <v>293.33333333334372</v>
      </c>
      <c r="AN201" s="59">
        <f ca="1">AVERAGE(OFFSET($AM$3,0,0,'Données projet'!$E$10+1,1))-AVERAGE(OFFSET($H$3,0,0,'Données projet'!$E$10+1,1))</f>
        <v>581.88778927327667</v>
      </c>
      <c r="AO201" s="59">
        <f t="shared" si="205"/>
        <v>269.67340993773422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138.24075339868455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138.24075339868455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4.8993342716130437E-13</v>
      </c>
      <c r="BF201" s="13">
        <f t="shared" si="167"/>
        <v>6.1172634040517391E-12</v>
      </c>
      <c r="BG201" s="20">
        <f t="shared" si="168"/>
        <v>1.1507534481029384E-11</v>
      </c>
      <c r="BH201" s="59">
        <f t="shared" si="194"/>
        <v>293.3333333333448</v>
      </c>
      <c r="BI201" s="59">
        <f ca="1">AVERAGE(OFFSET($BH$3,0,0,'Données projet'!$E$11+1,1))-AVERAGE(OFFSET($H$3,0,0,'Données projet'!$E$11+1,1))</f>
        <v>646.50767193970182</v>
      </c>
      <c r="BJ201" s="59">
        <f t="shared" si="206"/>
        <v>297.06786598620607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154.92498225714644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154.92498225714644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3.2410980566055511E-13</v>
      </c>
      <c r="CA201" s="13">
        <f t="shared" si="170"/>
        <v>4.246192380365624E-12</v>
      </c>
      <c r="CB201" s="20">
        <f t="shared" si="171"/>
        <v>7.9599429739955953E-12</v>
      </c>
      <c r="CC201" s="59">
        <f t="shared" si="195"/>
        <v>293.33333333334127</v>
      </c>
      <c r="CD201" s="59">
        <f ca="1">AVERAGE(OFFSET($CC$3,0,0,'Données projet'!$E$12+1,1))-AVERAGE(OFFSET($H$3,0,0,'Données projet'!$E$12+1,1))</f>
        <v>442.85175349826028</v>
      </c>
      <c r="CE201" s="59">
        <f t="shared" si="207"/>
        <v>210.70697808232501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126.32344707121177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126.32344707121177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-7.9808160080574461E-14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289.01603252482897</v>
      </c>
      <c r="T202" s="59">
        <f t="shared" si="204"/>
        <v>233.84231920589906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26.095726335246258</v>
      </c>
      <c r="AA202" s="21">
        <f>EXP(-LN(2)/25)*AA201+(1-EXP(-LN(2)/25))/(LN(2)/25)*Calculateur!V202*Calculateur!X202*VLOOKUP('Données projet'!$B$9,Paramètres!$A$1:$I$89,3,0)*0.475*44/12</f>
        <v>4.9565060143447264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31.052232349590984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4.3717136577470225E-13</v>
      </c>
      <c r="AK202" s="13">
        <f t="shared" si="164"/>
        <v>5.5313598682231701E-12</v>
      </c>
      <c r="AL202" s="20">
        <f t="shared" si="165"/>
        <v>1.039519189921296E-11</v>
      </c>
      <c r="AM202" s="59">
        <f t="shared" si="193"/>
        <v>293.33333333334372</v>
      </c>
      <c r="AN202" s="59">
        <f ca="1">AVERAGE(OFFSET($AM$3,0,0,'Données projet'!$E$10+1,1))-AVERAGE(OFFSET($H$3,0,0,'Données projet'!$E$10+1,1))</f>
        <v>581.88778927327667</v>
      </c>
      <c r="AO202" s="59">
        <f t="shared" si="205"/>
        <v>269.67340993773422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135.52993654307016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135.52993654307016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4.8993342716130437E-13</v>
      </c>
      <c r="BF202" s="13">
        <f t="shared" si="167"/>
        <v>6.1172634040517391E-12</v>
      </c>
      <c r="BG202" s="20">
        <f t="shared" si="168"/>
        <v>1.1507534481029384E-11</v>
      </c>
      <c r="BH202" s="59">
        <f t="shared" si="194"/>
        <v>293.3333333333448</v>
      </c>
      <c r="BI202" s="59">
        <f ca="1">AVERAGE(OFFSET($BH$3,0,0,'Données projet'!$E$11+1,1))-AVERAGE(OFFSET($H$3,0,0,'Données projet'!$E$11+1,1))</f>
        <v>646.50767193970182</v>
      </c>
      <c r="BJ202" s="59">
        <f t="shared" si="206"/>
        <v>297.06786598620607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151.88699784999238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151.88699784999238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3.2410980566055511E-13</v>
      </c>
      <c r="CA202" s="13">
        <f t="shared" si="170"/>
        <v>4.246192380365624E-12</v>
      </c>
      <c r="CB202" s="20">
        <f t="shared" si="171"/>
        <v>7.9599429739955953E-12</v>
      </c>
      <c r="CC202" s="59">
        <f t="shared" si="195"/>
        <v>293.33333333334127</v>
      </c>
      <c r="CD202" s="59">
        <f ca="1">AVERAGE(OFFSET($CC$3,0,0,'Données projet'!$E$12+1,1))-AVERAGE(OFFSET($H$3,0,0,'Données projet'!$E$12+1,1))</f>
        <v>442.85175349826028</v>
      </c>
      <c r="CE202" s="59">
        <f t="shared" si="207"/>
        <v>210.70697808232501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123.84632132384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123.84632132384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-7.9808160080574461E-14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289.01603252482897</v>
      </c>
      <c r="T203" s="59">
        <f t="shared" si="204"/>
        <v>233.84231920589906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25.584005058633487</v>
      </c>
      <c r="AA203" s="21">
        <f>EXP(-LN(2)/25)*AA202+(1-EXP(-LN(2)/25))/(LN(2)/25)*Calculateur!V203*Calculateur!X203*VLOOKUP('Données projet'!$B$9,Paramètres!$A$1:$I$89,3,0)*0.475*44/12</f>
        <v>4.8209700967311466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30.404975155364632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4.3717136577470225E-13</v>
      </c>
      <c r="AK203" s="13">
        <f t="shared" si="164"/>
        <v>5.5313598682231701E-12</v>
      </c>
      <c r="AL203" s="20">
        <f t="shared" si="165"/>
        <v>1.039519189921296E-11</v>
      </c>
      <c r="AM203" s="59">
        <f t="shared" si="193"/>
        <v>293.33333333334372</v>
      </c>
      <c r="AN203" s="59">
        <f ca="1">AVERAGE(OFFSET($AM$3,0,0,'Données projet'!$E$10+1,1))-AVERAGE(OFFSET($H$3,0,0,'Données projet'!$E$10+1,1))</f>
        <v>581.88778927327667</v>
      </c>
      <c r="AO203" s="59">
        <f t="shared" si="205"/>
        <v>269.67340993773422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132.87227715255935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132.87227715255935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4.8993342716130437E-13</v>
      </c>
      <c r="BF203" s="13">
        <f t="shared" si="167"/>
        <v>6.1172634040517391E-12</v>
      </c>
      <c r="BG203" s="20">
        <f t="shared" si="168"/>
        <v>1.1507534481029384E-11</v>
      </c>
      <c r="BH203" s="59">
        <f t="shared" si="194"/>
        <v>293.3333333333448</v>
      </c>
      <c r="BI203" s="59">
        <f ca="1">AVERAGE(OFFSET($BH$3,0,0,'Données projet'!$E$11+1,1))-AVERAGE(OFFSET($H$3,0,0,'Données projet'!$E$11+1,1))</f>
        <v>646.50767193970182</v>
      </c>
      <c r="BJ203" s="59">
        <f t="shared" si="206"/>
        <v>297.06786598620607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148.90858646407509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148.90858646407509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3.2410980566055511E-13</v>
      </c>
      <c r="CA203" s="13">
        <f t="shared" si="170"/>
        <v>4.246192380365624E-12</v>
      </c>
      <c r="CB203" s="20">
        <f t="shared" si="171"/>
        <v>7.9599429739955953E-12</v>
      </c>
      <c r="CC203" s="59">
        <f t="shared" si="195"/>
        <v>293.33333333334127</v>
      </c>
      <c r="CD203" s="59">
        <f ca="1">AVERAGE(OFFSET($CC$3,0,0,'Données projet'!$E$12+1,1))-AVERAGE(OFFSET($H$3,0,0,'Données projet'!$E$12+1,1))</f>
        <v>442.85175349826028</v>
      </c>
      <c r="CE203" s="59">
        <f t="shared" si="207"/>
        <v>210.70697808232501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121.41777050147667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121.41777050147667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1.1199509302709205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>
        <f>EXP(LN('Données projet'!B88)/'Données projet'!A88)</f>
        <v>1.1289835501862808</v>
      </c>
      <c r="BV205" s="82">
        <f>EXP(LN('Données projet'!B114)/'Données projet'!A114)</f>
        <v>1.1289835501862808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zoomScale="90" zoomScaleNormal="90" workbookViewId="0">
      <selection activeCell="I39" sqref="I3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1.2627000000000002</v>
      </c>
      <c r="C6" s="147">
        <f ca="1">IF(OR('Données projet'!B9="",'Données projet'!C9="",'Données projet'!C9=0%),0,Calculateur!S3)</f>
        <v>289.01603252482897</v>
      </c>
      <c r="D6" s="147">
        <f>IF(OR('Données projet'!B9="",'Données projet'!C9="",'Données projet'!C9=0%),0,Calculateur!T3)</f>
        <v>233.84231920589906</v>
      </c>
      <c r="E6" s="147">
        <f ca="1">MIN(C6,D6)</f>
        <v>233.84231920589906</v>
      </c>
      <c r="F6" s="147">
        <f ca="1">E6*B6</f>
        <v>295.27269646128877</v>
      </c>
      <c r="G6" s="147">
        <f ca="1">F6*(100%-'Données projet'!$C$24)*(100%-'Données projet'!$C$25)*(100%-'Données projet'!$C$26)*(100%-'Données projet'!$C$27)</f>
        <v>252.45815547440193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252.45815547440193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2.3058000000000001</v>
      </c>
      <c r="C7" s="147">
        <f ca="1">IF(OR('Données projet'!B10="",'Données projet'!C10="",'Données projet'!C10=0%),0,Calculateur!AN3)</f>
        <v>581.88778927327667</v>
      </c>
      <c r="D7" s="147">
        <f>IF(OR('Données projet'!B10="",'Données projet'!C10="",'Données projet'!C10=0%),0,Calculateur!AO3)</f>
        <v>269.67340993773422</v>
      </c>
      <c r="E7" s="147">
        <f t="shared" ref="E7:E15" ca="1" si="0">MIN(C7,D7)</f>
        <v>269.67340993773422</v>
      </c>
      <c r="F7" s="147">
        <f t="shared" ref="F7:F15" ca="1" si="1">E7*B7</f>
        <v>621.81294863442758</v>
      </c>
      <c r="G7" s="147">
        <f ca="1">F7*(100%-'Données projet'!$C$24)*(100%-'Données projet'!$C$25)*(100%-'Données projet'!$C$26)*(100%-'Données projet'!$C$27)</f>
        <v>531.6500710824356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531.6500710824356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pubescent</v>
      </c>
      <c r="B8" s="154">
        <f>'Données projet'!D11</f>
        <v>1.3725000000000001</v>
      </c>
      <c r="C8" s="147">
        <f ca="1">IF(OR('Données projet'!B11="",'Données projet'!C11="",'Données projet'!C11=0%),0,Calculateur!BI3)</f>
        <v>646.50767193970182</v>
      </c>
      <c r="D8" s="147">
        <f>IF(OR('Données projet'!B11="",'Données projet'!C11="",'Données projet'!C11=0%),0,Calculateur!BJ3)</f>
        <v>297.06786598620607</v>
      </c>
      <c r="E8" s="147">
        <f t="shared" ca="1" si="0"/>
        <v>297.06786598620607</v>
      </c>
      <c r="F8" s="147">
        <f t="shared" ca="1" si="1"/>
        <v>407.72564606606784</v>
      </c>
      <c r="G8" s="147">
        <f ca="1">F8*(100%-'Données projet'!$C$24)*(100%-'Données projet'!$C$25)*(100%-'Données projet'!$C$26)*(100%-'Données projet'!$C$27)</f>
        <v>348.60542738648803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348.60542738648803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Tilleul</v>
      </c>
      <c r="B9" s="154">
        <f>'Données projet'!D12</f>
        <v>0.54900000000000004</v>
      </c>
      <c r="C9" s="147">
        <f ca="1">IF(OR('Données projet'!B12="",'Données projet'!C12="",'Données projet'!C12=0%),0,Calculateur!CD3)</f>
        <v>442.85175349826028</v>
      </c>
      <c r="D9" s="147">
        <f>IF(OR('Données projet'!B12="",'Données projet'!C12="",'Données projet'!C12=0%),0,Calculateur!CE3)</f>
        <v>210.70697808232501</v>
      </c>
      <c r="E9" s="147">
        <f t="shared" ca="1" si="0"/>
        <v>210.70697808232501</v>
      </c>
      <c r="F9" s="147">
        <f t="shared" ca="1" si="1"/>
        <v>115.67813096719644</v>
      </c>
      <c r="G9" s="147">
        <f ca="1">F9*(100%-'Données projet'!$C$24)*(100%-'Données projet'!$C$25)*(100%-'Données projet'!$C$26)*(100%-'Données projet'!$C$27)</f>
        <v>98.904801976952953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98.904801976952953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1440.4894221289806</v>
      </c>
      <c r="G16" s="166">
        <f t="shared" ca="1" si="3"/>
        <v>1231.6184559202784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1231.6184559202784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Tilleul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6" zoomScale="80" zoomScaleNormal="80" workbookViewId="0">
      <selection activeCell="N16" sqref="N1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6" t="s">
        <v>315</v>
      </c>
      <c r="I4" s="266"/>
      <c r="K4" s="308" t="s">
        <v>253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-4958.3552764490732</v>
      </c>
      <c r="U10" s="178">
        <f>'Données projet'!D9</f>
        <v>1.2627000000000002</v>
      </c>
      <c r="V10" s="177">
        <f>U10*T10</f>
        <v>-6260.9152075722459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-5991.7686886467154</v>
      </c>
      <c r="U11" s="178">
        <f>'Données projet'!D10</f>
        <v>2.3058000000000001</v>
      </c>
      <c r="V11" s="177">
        <f t="shared" ref="V11" si="0">U11*T11</f>
        <v>-13815.820242281598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-6982.042081704848</v>
      </c>
      <c r="U12" s="178">
        <f>'Données projet'!D11</f>
        <v>1.3725000000000001</v>
      </c>
      <c r="V12" s="177">
        <f t="shared" ref="V12:V19" si="1">U12*T12</f>
        <v>-9582.8527571399045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Tilleul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-4788.6332403616889</v>
      </c>
      <c r="U13" s="178">
        <f>'Données projet'!D12</f>
        <v>0.54900000000000004</v>
      </c>
      <c r="V13" s="177">
        <f t="shared" si="1"/>
        <v>-2628.9596489585674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1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1"/>
      <c r="H16" s="190"/>
      <c r="I16" s="191"/>
      <c r="J16" s="202"/>
      <c r="K16" s="208"/>
      <c r="L16" s="308" t="s">
        <v>254</v>
      </c>
      <c r="M16" s="309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1250*(1.2+0.8)+180+720+300+120*0.2</f>
        <v>3724</v>
      </c>
      <c r="F17" s="230"/>
      <c r="G17" s="311"/>
      <c r="I17" s="195"/>
      <c r="J17" s="202"/>
      <c r="K17" s="208"/>
      <c r="L17" s="268" t="s">
        <v>289</v>
      </c>
      <c r="M17" s="27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311"/>
      <c r="J18" s="202"/>
      <c r="K18" s="208"/>
      <c r="L18" s="268" t="s">
        <v>255</v>
      </c>
      <c r="M18" s="270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1388.6</v>
      </c>
      <c r="F19" s="230"/>
      <c r="G19" s="311"/>
      <c r="H19" s="212" t="s">
        <v>178</v>
      </c>
      <c r="I19" s="212" t="s">
        <v>287</v>
      </c>
      <c r="J19" s="93"/>
      <c r="K19" s="173"/>
      <c r="L19" s="308" t="s">
        <v>288</v>
      </c>
      <c r="M19" s="30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311"/>
      <c r="H20" s="190">
        <v>1</v>
      </c>
      <c r="I20" s="191">
        <f>(400/SUM(U10:U19)+20)+(200/SUM(U10:U19)+10)</f>
        <v>139.28961748633878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200/SUM(U10:U19)+10</f>
        <v>46.429872495446261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51</v>
      </c>
      <c r="B23" s="181">
        <f>'Données projet'!D36</f>
        <v>99.93</v>
      </c>
      <c r="C23" s="193">
        <v>43.5</v>
      </c>
      <c r="D23" s="182">
        <f>B23*C23</f>
        <v>4346.9549999999999</v>
      </c>
      <c r="E23" s="193"/>
      <c r="F23" s="230"/>
      <c r="H23" s="190">
        <v>4</v>
      </c>
      <c r="I23" s="191"/>
      <c r="K23" s="208"/>
      <c r="L23" s="310" t="s">
        <v>260</v>
      </c>
      <c r="M23" s="310"/>
      <c r="N23" s="310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-37433.766480290877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63</v>
      </c>
      <c r="B24" s="181">
        <f>'Données projet'!D37</f>
        <v>113.87</v>
      </c>
      <c r="C24" s="193">
        <v>43.5</v>
      </c>
      <c r="D24" s="182">
        <f t="shared" ref="D24:D42" si="2">B24*C24</f>
        <v>4953.3450000000003</v>
      </c>
      <c r="E24" s="193"/>
      <c r="F24" s="233"/>
      <c r="H24" s="190">
        <v>5</v>
      </c>
      <c r="I24" s="2">
        <f>8%*(SUM(E17:E22)*U10+SUM(E$48:E53)*U11+SUM(E79:E84)*U12+SUM(E110:E115)*U13+SUM(E141:E146)*U14+SUM(E172:E177)*U15+SUM(E203:E208)*U16+SUM(E234:E239)*U17+SUM(E265:E270)*U18+SUM(E296:E301)*U19)/SUM(U10:U19)</f>
        <v>598.80719999999997</v>
      </c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75</v>
      </c>
      <c r="B25" s="181">
        <f>'Données projet'!D38</f>
        <v>92.44</v>
      </c>
      <c r="C25" s="193">
        <v>43.5</v>
      </c>
      <c r="D25" s="182">
        <f t="shared" si="2"/>
        <v>4021.14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7">
        <f ca="1">T23-T24</f>
        <v>-37433.766480290877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87</v>
      </c>
      <c r="B26" s="181">
        <f>'Données projet'!D39</f>
        <v>91.18</v>
      </c>
      <c r="C26" s="193">
        <v>43.5</v>
      </c>
      <c r="D26" s="182">
        <f t="shared" si="2"/>
        <v>3966.3300000000004</v>
      </c>
      <c r="E26" s="193"/>
      <c r="F26" s="233"/>
      <c r="G26" s="229"/>
      <c r="H26" s="190">
        <v>7</v>
      </c>
      <c r="I26" s="191">
        <v>20</v>
      </c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99</v>
      </c>
      <c r="B27" s="181">
        <f>'Données projet'!D40</f>
        <v>219.27</v>
      </c>
      <c r="C27" s="193">
        <v>43.5</v>
      </c>
      <c r="D27" s="182">
        <f t="shared" si="2"/>
        <v>9538.2450000000008</v>
      </c>
      <c r="E27" s="193"/>
      <c r="F27" s="233"/>
      <c r="G27" s="229"/>
      <c r="H27" s="190">
        <v>8</v>
      </c>
      <c r="I27" s="191">
        <v>20</v>
      </c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109</v>
      </c>
      <c r="B28" s="181">
        <f>'Données projet'!D41</f>
        <v>285.48</v>
      </c>
      <c r="C28" s="193">
        <v>43.5</v>
      </c>
      <c r="D28" s="182">
        <f t="shared" si="2"/>
        <v>12418.380000000001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41093.144100000005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1019.6000000000001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43612.744100000004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1600*(1.5+0.8)+180+720+300+120*0.2</f>
        <v>4904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1565.6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58</v>
      </c>
      <c r="D54" s="179">
        <f>B54*C54</f>
        <v>2506.1799999999998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58</v>
      </c>
      <c r="D55" s="179">
        <f t="shared" ref="D55:D73" si="4">B55*C55</f>
        <v>2063.64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58</v>
      </c>
      <c r="D56" s="179">
        <f t="shared" si="4"/>
        <v>2605.94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106</v>
      </c>
      <c r="D57" s="179">
        <f t="shared" si="4"/>
        <v>5290.46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106</v>
      </c>
      <c r="D58" s="179">
        <f t="shared" si="4"/>
        <v>5024.3999999999996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106</v>
      </c>
      <c r="D59" s="179">
        <f t="shared" si="4"/>
        <v>6515.82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106</v>
      </c>
      <c r="D60" s="179">
        <f t="shared" si="4"/>
        <v>6556.1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106</v>
      </c>
      <c r="D61" s="179">
        <f t="shared" si="4"/>
        <v>6380.1399999999994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106</v>
      </c>
      <c r="D62" s="179">
        <f t="shared" si="4"/>
        <v>5943.42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106</v>
      </c>
      <c r="D63" s="179">
        <f t="shared" si="4"/>
        <v>5568.18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106</v>
      </c>
      <c r="D64" s="179">
        <f t="shared" si="4"/>
        <v>5824.7000000000007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106</v>
      </c>
      <c r="D65" s="179">
        <f t="shared" si="4"/>
        <v>5937.0599999999995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106</v>
      </c>
      <c r="D66" s="179">
        <f t="shared" si="4"/>
        <v>5843.7800000000007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106</v>
      </c>
      <c r="D67" s="179">
        <f t="shared" si="4"/>
        <v>6315.48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106</v>
      </c>
      <c r="D68" s="179">
        <f t="shared" si="4"/>
        <v>22765.620000000003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106</v>
      </c>
      <c r="D69" s="179">
        <f t="shared" si="4"/>
        <v>12210.14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106</v>
      </c>
      <c r="D70" s="179">
        <f t="shared" si="4"/>
        <v>8238.32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106</v>
      </c>
      <c r="D71" s="179">
        <f t="shared" si="4"/>
        <v>17994.559999999998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1600*(1.5+0.8)+180+720+300+120*0.2</f>
        <v>4904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1565.6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42</v>
      </c>
      <c r="B85" s="181">
        <f>'Données projet'!D88</f>
        <v>43.21</v>
      </c>
      <c r="C85" s="191">
        <v>18.5</v>
      </c>
      <c r="D85" s="179">
        <f>B85*C85</f>
        <v>799.38499999999999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50</v>
      </c>
      <c r="B86" s="181">
        <f>'Données projet'!D89</f>
        <v>35.58</v>
      </c>
      <c r="C86" s="191">
        <v>18.5</v>
      </c>
      <c r="D86" s="179">
        <f t="shared" ref="D86:D104" si="6">B86*C86</f>
        <v>658.23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58</v>
      </c>
      <c r="B87" s="181">
        <f>'Données projet'!D90</f>
        <v>44.93</v>
      </c>
      <c r="C87" s="191">
        <v>18.5</v>
      </c>
      <c r="D87" s="179">
        <f t="shared" si="6"/>
        <v>831.20500000000004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66</v>
      </c>
      <c r="B88" s="181">
        <f>'Données projet'!D91</f>
        <v>49.91</v>
      </c>
      <c r="C88" s="191">
        <v>32</v>
      </c>
      <c r="D88" s="179">
        <f t="shared" si="6"/>
        <v>1597.12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74</v>
      </c>
      <c r="B89" s="181">
        <f>'Données projet'!D92</f>
        <v>47.4</v>
      </c>
      <c r="C89" s="191">
        <v>32</v>
      </c>
      <c r="D89" s="179">
        <f t="shared" si="6"/>
        <v>1516.8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84</v>
      </c>
      <c r="B90" s="181">
        <f>'Données projet'!D93</f>
        <v>61.47</v>
      </c>
      <c r="C90" s="191">
        <v>32</v>
      </c>
      <c r="D90" s="179">
        <f t="shared" si="6"/>
        <v>1967.04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94</v>
      </c>
      <c r="B91" s="181">
        <f>'Données projet'!D94</f>
        <v>61.85</v>
      </c>
      <c r="C91" s="191">
        <v>32</v>
      </c>
      <c r="D91" s="179">
        <f t="shared" si="6"/>
        <v>1979.2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104</v>
      </c>
      <c r="B92" s="181">
        <f>'Données projet'!D95</f>
        <v>60.19</v>
      </c>
      <c r="C92" s="191">
        <v>32</v>
      </c>
      <c r="D92" s="179">
        <f t="shared" si="6"/>
        <v>1926.08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114</v>
      </c>
      <c r="B93" s="181">
        <f>'Données projet'!D96</f>
        <v>56.07</v>
      </c>
      <c r="C93" s="191">
        <v>32</v>
      </c>
      <c r="D93" s="179">
        <f t="shared" si="6"/>
        <v>1794.24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124</v>
      </c>
      <c r="B94" s="181">
        <f>'Données projet'!D97</f>
        <v>52.53</v>
      </c>
      <c r="C94" s="191">
        <v>32</v>
      </c>
      <c r="D94" s="179">
        <f t="shared" si="6"/>
        <v>1680.96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134</v>
      </c>
      <c r="B95" s="181">
        <f>'Données projet'!D98</f>
        <v>54.95</v>
      </c>
      <c r="C95" s="191">
        <v>32</v>
      </c>
      <c r="D95" s="179">
        <f t="shared" si="6"/>
        <v>1758.4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144</v>
      </c>
      <c r="B96" s="181">
        <f>'Données projet'!D99</f>
        <v>56.01</v>
      </c>
      <c r="C96" s="191">
        <v>32</v>
      </c>
      <c r="D96" s="179">
        <f t="shared" si="6"/>
        <v>1792.32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154</v>
      </c>
      <c r="B97" s="181">
        <f>'Données projet'!D100</f>
        <v>55.13</v>
      </c>
      <c r="C97" s="191">
        <v>32</v>
      </c>
      <c r="D97" s="179">
        <f t="shared" si="6"/>
        <v>1764.16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164</v>
      </c>
      <c r="B98" s="181">
        <f>'Données projet'!D101</f>
        <v>59.58</v>
      </c>
      <c r="C98" s="191">
        <v>32</v>
      </c>
      <c r="D98" s="179">
        <f t="shared" si="6"/>
        <v>1906.56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174</v>
      </c>
      <c r="B99" s="181">
        <f>'Données projet'!D102</f>
        <v>214.77</v>
      </c>
      <c r="C99" s="191">
        <v>32</v>
      </c>
      <c r="D99" s="179">
        <f t="shared" si="6"/>
        <v>6872.64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177</v>
      </c>
      <c r="B100" s="181">
        <f>'Données projet'!D103</f>
        <v>115.19</v>
      </c>
      <c r="C100" s="191">
        <v>32</v>
      </c>
      <c r="D100" s="179">
        <f t="shared" si="6"/>
        <v>3686.08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180</v>
      </c>
      <c r="B101" s="181">
        <f>'Données projet'!D104</f>
        <v>77.72</v>
      </c>
      <c r="C101" s="191">
        <v>32</v>
      </c>
      <c r="D101" s="179">
        <f t="shared" si="6"/>
        <v>2487.04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183</v>
      </c>
      <c r="B102" s="181">
        <f>'Données projet'!D105</f>
        <v>169.76</v>
      </c>
      <c r="C102" s="191">
        <v>32</v>
      </c>
      <c r="D102" s="179">
        <f t="shared" si="6"/>
        <v>5432.32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Tilleul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1600*(1.65+0.8)+180+720+300+120*0.2</f>
        <v>5144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220+430</f>
        <v>650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400+430+15%*E110</f>
        <v>1601.6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220+430</f>
        <v>650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43.21</v>
      </c>
      <c r="C116" s="191">
        <v>12.5</v>
      </c>
      <c r="D116" s="179">
        <f>B116*C116</f>
        <v>540.125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50</v>
      </c>
      <c r="B117" s="181">
        <f>'Données projet'!D115</f>
        <v>35.58</v>
      </c>
      <c r="C117" s="191">
        <v>12.5</v>
      </c>
      <c r="D117" s="179">
        <f t="shared" ref="D117:D135" si="8">B117*C117</f>
        <v>444.75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58</v>
      </c>
      <c r="B118" s="181">
        <f>'Données projet'!D116</f>
        <v>44.93</v>
      </c>
      <c r="C118" s="191">
        <v>12.5</v>
      </c>
      <c r="D118" s="179">
        <f t="shared" si="8"/>
        <v>561.625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66</v>
      </c>
      <c r="B119" s="181">
        <f>'Données projet'!D117</f>
        <v>49.91</v>
      </c>
      <c r="C119" s="191">
        <v>20</v>
      </c>
      <c r="D119" s="179">
        <f t="shared" si="8"/>
        <v>998.19999999999993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74</v>
      </c>
      <c r="B120" s="181">
        <f>'Données projet'!D118</f>
        <v>47.4</v>
      </c>
      <c r="C120" s="191">
        <v>20</v>
      </c>
      <c r="D120" s="179">
        <f t="shared" si="8"/>
        <v>948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84</v>
      </c>
      <c r="B121" s="181">
        <f>'Données projet'!D119</f>
        <v>61.47</v>
      </c>
      <c r="C121" s="191">
        <v>20</v>
      </c>
      <c r="D121" s="179">
        <f t="shared" si="8"/>
        <v>1229.4000000000001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94</v>
      </c>
      <c r="B122" s="181">
        <f>'Données projet'!D120</f>
        <v>61.85</v>
      </c>
      <c r="C122" s="191">
        <v>20</v>
      </c>
      <c r="D122" s="179">
        <f t="shared" si="8"/>
        <v>1237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104</v>
      </c>
      <c r="B123" s="181">
        <f>'Données projet'!D121</f>
        <v>60.19</v>
      </c>
      <c r="C123" s="191">
        <v>20</v>
      </c>
      <c r="D123" s="179">
        <f t="shared" si="8"/>
        <v>1203.8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114</v>
      </c>
      <c r="B124" s="181">
        <f>'Données projet'!D122</f>
        <v>56.07</v>
      </c>
      <c r="C124" s="191">
        <v>20</v>
      </c>
      <c r="D124" s="179">
        <f t="shared" si="8"/>
        <v>1121.4000000000001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124</v>
      </c>
      <c r="B125" s="181">
        <f>'Données projet'!D123</f>
        <v>52.53</v>
      </c>
      <c r="C125" s="191">
        <v>20</v>
      </c>
      <c r="D125" s="179">
        <f t="shared" si="8"/>
        <v>1050.5999999999999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134</v>
      </c>
      <c r="B126" s="181">
        <f>'Données projet'!D124</f>
        <v>54.95</v>
      </c>
      <c r="C126" s="191">
        <v>20</v>
      </c>
      <c r="D126" s="179">
        <f t="shared" si="8"/>
        <v>1099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144</v>
      </c>
      <c r="B127" s="181">
        <f>'Données projet'!D125</f>
        <v>56.01</v>
      </c>
      <c r="C127" s="191">
        <v>20</v>
      </c>
      <c r="D127" s="179">
        <f t="shared" si="8"/>
        <v>1120.2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154</v>
      </c>
      <c r="B128" s="181">
        <f>'Données projet'!D126</f>
        <v>55.13</v>
      </c>
      <c r="C128" s="191">
        <v>20</v>
      </c>
      <c r="D128" s="179">
        <f t="shared" si="8"/>
        <v>1102.6000000000001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164</v>
      </c>
      <c r="B129" s="181">
        <f>'Données projet'!D127</f>
        <v>59.58</v>
      </c>
      <c r="C129" s="191">
        <v>20</v>
      </c>
      <c r="D129" s="179">
        <f t="shared" si="8"/>
        <v>1191.5999999999999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174</v>
      </c>
      <c r="B130" s="181">
        <f>'Données projet'!D128</f>
        <v>214.77</v>
      </c>
      <c r="C130" s="191">
        <v>20</v>
      </c>
      <c r="D130" s="179">
        <f t="shared" si="8"/>
        <v>4295.4000000000005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177</v>
      </c>
      <c r="B131" s="181">
        <f>'Données projet'!D129</f>
        <v>115.19</v>
      </c>
      <c r="C131" s="191">
        <v>20</v>
      </c>
      <c r="D131" s="179">
        <f t="shared" si="8"/>
        <v>2303.8000000000002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180</v>
      </c>
      <c r="B132" s="181">
        <f>'Données projet'!D130</f>
        <v>77.72</v>
      </c>
      <c r="C132" s="191">
        <v>20</v>
      </c>
      <c r="D132" s="179">
        <f t="shared" si="8"/>
        <v>1554.4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183</v>
      </c>
      <c r="B133" s="181">
        <f>'Données projet'!D131</f>
        <v>169.76</v>
      </c>
      <c r="C133" s="191">
        <v>20</v>
      </c>
      <c r="D133" s="179">
        <f t="shared" si="8"/>
        <v>3395.2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2025-08-21T13:53:27Z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